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p Projection Fit\WSLS March 2020 Seminar\CD\Documents and Spreadsheets\"/>
    </mc:Choice>
  </mc:AlternateContent>
  <xr:revisionPtr revIDLastSave="0" documentId="8_{6EDDF273-D694-4D50-A1C3-C6BFE7B55B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ransverse Mercator" sheetId="1" r:id="rId1"/>
    <sheet name="Lambert (Cen Par and Scale)" sheetId="6" r:id="rId2"/>
    <sheet name="Lambert (2 Std Parallels)" sheetId="7" r:id="rId3"/>
    <sheet name="Parameter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7" l="1"/>
  <c r="J8" i="7"/>
  <c r="D9" i="7"/>
  <c r="J9" i="6"/>
  <c r="J8" i="6"/>
  <c r="D9" i="6"/>
  <c r="D20" i="7" l="1"/>
  <c r="G5" i="7"/>
  <c r="F5" i="7"/>
  <c r="E28" i="7" s="1"/>
  <c r="E5" i="7"/>
  <c r="D18" i="7" s="1"/>
  <c r="D5" i="7"/>
  <c r="C5" i="7"/>
  <c r="D14" i="7" s="1"/>
  <c r="B5" i="7"/>
  <c r="D16" i="7" l="1"/>
  <c r="B15" i="7"/>
  <c r="B21" i="7" s="1"/>
  <c r="B19" i="7" l="1"/>
  <c r="B27" i="7"/>
  <c r="B17" i="7"/>
  <c r="B16" i="7"/>
  <c r="B20" i="7" l="1"/>
  <c r="B18" i="7"/>
  <c r="B32" i="7"/>
  <c r="B33" i="7"/>
  <c r="D20" i="6"/>
  <c r="D18" i="6"/>
  <c r="D16" i="6"/>
  <c r="D14" i="6"/>
  <c r="P95" i="4"/>
  <c r="Q95" i="4" s="1"/>
  <c r="R95" i="4" s="1"/>
  <c r="P81" i="4"/>
  <c r="P80" i="4"/>
  <c r="Q80" i="4" s="1"/>
  <c r="R80" i="4" s="1"/>
  <c r="P79" i="4"/>
  <c r="Q79" i="4" s="1"/>
  <c r="R79" i="4" s="1"/>
  <c r="P78" i="4"/>
  <c r="P77" i="4"/>
  <c r="P76" i="4"/>
  <c r="Q76" i="4" s="1"/>
  <c r="R76" i="4" s="1"/>
  <c r="P75" i="4"/>
  <c r="Q75" i="4" s="1"/>
  <c r="R75" i="4" s="1"/>
  <c r="P74" i="4"/>
  <c r="Q74" i="4" s="1"/>
  <c r="P73" i="4"/>
  <c r="P72" i="4"/>
  <c r="Q72" i="4" s="1"/>
  <c r="R72" i="4" s="1"/>
  <c r="P71" i="4"/>
  <c r="Q71" i="4" s="1"/>
  <c r="R71" i="4" s="1"/>
  <c r="P70" i="4"/>
  <c r="Q70" i="4" s="1"/>
  <c r="P69" i="4"/>
  <c r="P68" i="4"/>
  <c r="Q68" i="4" s="1"/>
  <c r="R68" i="4" s="1"/>
  <c r="Q67" i="4"/>
  <c r="R67" i="4" s="1"/>
  <c r="P67" i="4"/>
  <c r="P66" i="4"/>
  <c r="Q66" i="4" s="1"/>
  <c r="P65" i="4"/>
  <c r="P64" i="4"/>
  <c r="Q64" i="4" s="1"/>
  <c r="R64" i="4" s="1"/>
  <c r="P63" i="4"/>
  <c r="Q63" i="4" s="1"/>
  <c r="R63" i="4" s="1"/>
  <c r="P62" i="4"/>
  <c r="P61" i="4"/>
  <c r="P60" i="4"/>
  <c r="Q60" i="4" s="1"/>
  <c r="R60" i="4" s="1"/>
  <c r="P59" i="4"/>
  <c r="Q59" i="4" s="1"/>
  <c r="R59" i="4" s="1"/>
  <c r="P58" i="4"/>
  <c r="P57" i="4"/>
  <c r="P56" i="4"/>
  <c r="Q56" i="4" s="1"/>
  <c r="R56" i="4" s="1"/>
  <c r="Q55" i="4"/>
  <c r="R55" i="4" s="1"/>
  <c r="P55" i="4"/>
  <c r="L81" i="4"/>
  <c r="L80" i="4"/>
  <c r="M80" i="4" s="1"/>
  <c r="N80" i="4" s="1"/>
  <c r="M79" i="4"/>
  <c r="N79" i="4" s="1"/>
  <c r="L79" i="4"/>
  <c r="L78" i="4"/>
  <c r="L77" i="4"/>
  <c r="L76" i="4"/>
  <c r="M76" i="4" s="1"/>
  <c r="N76" i="4" s="1"/>
  <c r="L75" i="4"/>
  <c r="M75" i="4" s="1"/>
  <c r="N75" i="4" s="1"/>
  <c r="L74" i="4"/>
  <c r="L73" i="4"/>
  <c r="L72" i="4"/>
  <c r="M72" i="4" s="1"/>
  <c r="N72" i="4" s="1"/>
  <c r="L71" i="4"/>
  <c r="M71" i="4" s="1"/>
  <c r="N71" i="4" s="1"/>
  <c r="L70" i="4"/>
  <c r="L69" i="4"/>
  <c r="L68" i="4"/>
  <c r="M68" i="4" s="1"/>
  <c r="N68" i="4" s="1"/>
  <c r="L67" i="4"/>
  <c r="L66" i="4"/>
  <c r="L65" i="4"/>
  <c r="L64" i="4"/>
  <c r="M64" i="4" s="1"/>
  <c r="N64" i="4" s="1"/>
  <c r="M63" i="4"/>
  <c r="L63" i="4"/>
  <c r="L62" i="4"/>
  <c r="L61" i="4"/>
  <c r="M61" i="4" s="1"/>
  <c r="L60" i="4"/>
  <c r="M60" i="4" s="1"/>
  <c r="N60" i="4" s="1"/>
  <c r="L59" i="4"/>
  <c r="L58" i="4"/>
  <c r="M57" i="4"/>
  <c r="L57" i="4"/>
  <c r="L56" i="4"/>
  <c r="M56" i="4" s="1"/>
  <c r="N56" i="4" s="1"/>
  <c r="N55" i="4"/>
  <c r="M55" i="4"/>
  <c r="L55" i="4"/>
  <c r="P49" i="4"/>
  <c r="P48" i="4"/>
  <c r="Q48" i="4" s="1"/>
  <c r="R48" i="4" s="1"/>
  <c r="Q47" i="4"/>
  <c r="R47" i="4" s="1"/>
  <c r="P47" i="4"/>
  <c r="P46" i="4"/>
  <c r="P45" i="4"/>
  <c r="P44" i="4"/>
  <c r="Q44" i="4" s="1"/>
  <c r="R44" i="4" s="1"/>
  <c r="P43" i="4"/>
  <c r="Q43" i="4" s="1"/>
  <c r="R43" i="4" s="1"/>
  <c r="P42" i="4"/>
  <c r="P41" i="4"/>
  <c r="P40" i="4"/>
  <c r="Q40" i="4" s="1"/>
  <c r="R40" i="4" s="1"/>
  <c r="P39" i="4"/>
  <c r="Q39" i="4" s="1"/>
  <c r="R39" i="4" s="1"/>
  <c r="P38" i="4"/>
  <c r="P37" i="4"/>
  <c r="P36" i="4"/>
  <c r="Q36" i="4" s="1"/>
  <c r="R36" i="4" s="1"/>
  <c r="Q35" i="4"/>
  <c r="P35" i="4"/>
  <c r="P34" i="4"/>
  <c r="P33" i="4"/>
  <c r="P32" i="4"/>
  <c r="Q32" i="4" s="1"/>
  <c r="R32" i="4" s="1"/>
  <c r="Q31" i="4"/>
  <c r="P31" i="4"/>
  <c r="P30" i="4"/>
  <c r="P29" i="4"/>
  <c r="P28" i="4"/>
  <c r="Q28" i="4" s="1"/>
  <c r="R28" i="4" s="1"/>
  <c r="P27" i="4"/>
  <c r="Q27" i="4" s="1"/>
  <c r="P26" i="4"/>
  <c r="P25" i="4"/>
  <c r="P24" i="4"/>
  <c r="Q24" i="4" s="1"/>
  <c r="R24" i="4" s="1"/>
  <c r="P23" i="4"/>
  <c r="Q23" i="4" s="1"/>
  <c r="P22" i="4"/>
  <c r="P21" i="4"/>
  <c r="P20" i="4"/>
  <c r="Q20" i="4" s="1"/>
  <c r="R20" i="4" s="1"/>
  <c r="Q19" i="4"/>
  <c r="P19" i="4"/>
  <c r="P18" i="4"/>
  <c r="P17" i="4"/>
  <c r="P16" i="4"/>
  <c r="Q16" i="4" s="1"/>
  <c r="R16" i="4" s="1"/>
  <c r="Q15" i="4"/>
  <c r="P15" i="4"/>
  <c r="P14" i="4"/>
  <c r="P13" i="4"/>
  <c r="P12" i="4"/>
  <c r="Q12" i="4" s="1"/>
  <c r="R12" i="4" s="1"/>
  <c r="P11" i="4"/>
  <c r="Q11" i="4" s="1"/>
  <c r="P10" i="4"/>
  <c r="P9" i="4"/>
  <c r="P8" i="4"/>
  <c r="Q8" i="4" s="1"/>
  <c r="R8" i="4" s="1"/>
  <c r="P7" i="4"/>
  <c r="P6" i="4"/>
  <c r="P5" i="4"/>
  <c r="Q5" i="4" s="1"/>
  <c r="L49" i="4"/>
  <c r="L48" i="4"/>
  <c r="M48" i="4" s="1"/>
  <c r="N48" i="4" s="1"/>
  <c r="L47" i="4"/>
  <c r="M47" i="4" s="1"/>
  <c r="N47" i="4" s="1"/>
  <c r="L46" i="4"/>
  <c r="M46" i="4" s="1"/>
  <c r="L45" i="4"/>
  <c r="L44" i="4"/>
  <c r="M44" i="4" s="1"/>
  <c r="N44" i="4" s="1"/>
  <c r="M43" i="4"/>
  <c r="N43" i="4" s="1"/>
  <c r="L43" i="4"/>
  <c r="L42" i="4"/>
  <c r="L41" i="4"/>
  <c r="L40" i="4"/>
  <c r="M40" i="4" s="1"/>
  <c r="N40" i="4" s="1"/>
  <c r="M39" i="4"/>
  <c r="N39" i="4" s="1"/>
  <c r="L39" i="4"/>
  <c r="L38" i="4"/>
  <c r="L37" i="4"/>
  <c r="L36" i="4"/>
  <c r="M36" i="4" s="1"/>
  <c r="N36" i="4" s="1"/>
  <c r="L35" i="4"/>
  <c r="M35" i="4" s="1"/>
  <c r="N35" i="4" s="1"/>
  <c r="L34" i="4"/>
  <c r="M34" i="4" s="1"/>
  <c r="L33" i="4"/>
  <c r="L32" i="4"/>
  <c r="M32" i="4" s="1"/>
  <c r="N32" i="4" s="1"/>
  <c r="L31" i="4"/>
  <c r="M31" i="4" s="1"/>
  <c r="N31" i="4" s="1"/>
  <c r="L30" i="4"/>
  <c r="L29" i="4"/>
  <c r="L28" i="4"/>
  <c r="M28" i="4" s="1"/>
  <c r="N28" i="4" s="1"/>
  <c r="M27" i="4"/>
  <c r="N27" i="4" s="1"/>
  <c r="L27" i="4"/>
  <c r="L26" i="4"/>
  <c r="M26" i="4" s="1"/>
  <c r="L25" i="4"/>
  <c r="L24" i="4"/>
  <c r="M24" i="4" s="1"/>
  <c r="N24" i="4" s="1"/>
  <c r="M23" i="4"/>
  <c r="N23" i="4" s="1"/>
  <c r="L23" i="4"/>
  <c r="L22" i="4"/>
  <c r="L21" i="4"/>
  <c r="L20" i="4"/>
  <c r="M20" i="4" s="1"/>
  <c r="N20" i="4" s="1"/>
  <c r="L19" i="4"/>
  <c r="M19" i="4" s="1"/>
  <c r="N19" i="4" s="1"/>
  <c r="L18" i="4"/>
  <c r="M18" i="4" s="1"/>
  <c r="L17" i="4"/>
  <c r="L16" i="4"/>
  <c r="M16" i="4" s="1"/>
  <c r="N16" i="4" s="1"/>
  <c r="L15" i="4"/>
  <c r="M15" i="4" s="1"/>
  <c r="N15" i="4" s="1"/>
  <c r="L14" i="4"/>
  <c r="L13" i="4"/>
  <c r="L12" i="4"/>
  <c r="M12" i="4" s="1"/>
  <c r="N12" i="4" s="1"/>
  <c r="M11" i="4"/>
  <c r="N11" i="4" s="1"/>
  <c r="L11" i="4"/>
  <c r="L10" i="4"/>
  <c r="M10" i="4" s="1"/>
  <c r="L9" i="4"/>
  <c r="L8" i="4"/>
  <c r="M8" i="4" s="1"/>
  <c r="N8" i="4" s="1"/>
  <c r="M7" i="4"/>
  <c r="N7" i="4" s="1"/>
  <c r="L7" i="4"/>
  <c r="L6" i="4"/>
  <c r="M6" i="4" s="1"/>
  <c r="N5" i="4"/>
  <c r="M5" i="4"/>
  <c r="L5" i="4"/>
  <c r="B34" i="7" l="1"/>
  <c r="N67" i="4"/>
  <c r="Q7" i="4"/>
  <c r="R7" i="4" s="1"/>
  <c r="N59" i="4"/>
  <c r="M67" i="4"/>
  <c r="R5" i="4"/>
  <c r="R15" i="4"/>
  <c r="R31" i="4"/>
  <c r="N57" i="4"/>
  <c r="M59" i="4"/>
  <c r="F11" i="6"/>
  <c r="B22" i="7"/>
  <c r="R23" i="4"/>
  <c r="N61" i="4"/>
  <c r="R11" i="4"/>
  <c r="R27" i="4"/>
  <c r="R19" i="4"/>
  <c r="R35" i="4"/>
  <c r="N63" i="4"/>
  <c r="F13" i="6"/>
  <c r="G13" i="6" s="1"/>
  <c r="H13" i="6" s="1"/>
  <c r="B38" i="6"/>
  <c r="Y89" i="4"/>
  <c r="Z89" i="4" s="1"/>
  <c r="Q58" i="4"/>
  <c r="R58" i="4" s="1"/>
  <c r="Q62" i="4"/>
  <c r="R62" i="4" s="1"/>
  <c r="Q78" i="4"/>
  <c r="R78" i="4" s="1"/>
  <c r="Q57" i="4"/>
  <c r="R57" i="4" s="1"/>
  <c r="Q61" i="4"/>
  <c r="R61" i="4" s="1"/>
  <c r="Q65" i="4"/>
  <c r="R65" i="4" s="1"/>
  <c r="R66" i="4"/>
  <c r="Q69" i="4"/>
  <c r="R69" i="4" s="1"/>
  <c r="R70" i="4"/>
  <c r="Q73" i="4"/>
  <c r="R73" i="4" s="1"/>
  <c r="R74" i="4"/>
  <c r="Q77" i="4"/>
  <c r="R77" i="4" s="1"/>
  <c r="Q81" i="4"/>
  <c r="R81" i="4" s="1"/>
  <c r="N70" i="4"/>
  <c r="N62" i="4"/>
  <c r="M58" i="4"/>
  <c r="N58" i="4" s="1"/>
  <c r="M62" i="4"/>
  <c r="M66" i="4"/>
  <c r="N66" i="4" s="1"/>
  <c r="M70" i="4"/>
  <c r="M74" i="4"/>
  <c r="N74" i="4" s="1"/>
  <c r="M78" i="4"/>
  <c r="N78" i="4" s="1"/>
  <c r="M65" i="4"/>
  <c r="N65" i="4" s="1"/>
  <c r="M69" i="4"/>
  <c r="N69" i="4" s="1"/>
  <c r="M73" i="4"/>
  <c r="N73" i="4" s="1"/>
  <c r="M77" i="4"/>
  <c r="N77" i="4" s="1"/>
  <c r="M81" i="4"/>
  <c r="N81" i="4" s="1"/>
  <c r="R13" i="4"/>
  <c r="R30" i="4"/>
  <c r="Q6" i="4"/>
  <c r="R6" i="4" s="1"/>
  <c r="Q10" i="4"/>
  <c r="R10" i="4" s="1"/>
  <c r="Q14" i="4"/>
  <c r="R14" i="4" s="1"/>
  <c r="Q18" i="4"/>
  <c r="R18" i="4" s="1"/>
  <c r="Q22" i="4"/>
  <c r="R22" i="4" s="1"/>
  <c r="Q26" i="4"/>
  <c r="R26" i="4" s="1"/>
  <c r="Q30" i="4"/>
  <c r="Q34" i="4"/>
  <c r="R34" i="4" s="1"/>
  <c r="Q38" i="4"/>
  <c r="R38" i="4" s="1"/>
  <c r="Q42" i="4"/>
  <c r="R42" i="4" s="1"/>
  <c r="Q46" i="4"/>
  <c r="R46" i="4" s="1"/>
  <c r="Q9" i="4"/>
  <c r="R9" i="4" s="1"/>
  <c r="Q13" i="4"/>
  <c r="Q17" i="4"/>
  <c r="R17" i="4" s="1"/>
  <c r="Q21" i="4"/>
  <c r="R21" i="4" s="1"/>
  <c r="Q25" i="4"/>
  <c r="R25" i="4" s="1"/>
  <c r="Q29" i="4"/>
  <c r="R29" i="4" s="1"/>
  <c r="Q33" i="4"/>
  <c r="R33" i="4" s="1"/>
  <c r="Q37" i="4"/>
  <c r="R37" i="4" s="1"/>
  <c r="Q41" i="4"/>
  <c r="R41" i="4" s="1"/>
  <c r="Q45" i="4"/>
  <c r="R45" i="4" s="1"/>
  <c r="Q49" i="4"/>
  <c r="R49" i="4" s="1"/>
  <c r="N13" i="4"/>
  <c r="N42" i="4"/>
  <c r="N25" i="4"/>
  <c r="N14" i="4"/>
  <c r="N49" i="4"/>
  <c r="M14" i="4"/>
  <c r="M22" i="4"/>
  <c r="N22" i="4" s="1"/>
  <c r="M30" i="4"/>
  <c r="N30" i="4" s="1"/>
  <c r="M38" i="4"/>
  <c r="N38" i="4" s="1"/>
  <c r="M42" i="4"/>
  <c r="N6" i="4"/>
  <c r="M9" i="4"/>
  <c r="N9" i="4" s="1"/>
  <c r="N10" i="4"/>
  <c r="M13" i="4"/>
  <c r="M17" i="4"/>
  <c r="N17" i="4" s="1"/>
  <c r="N18" i="4"/>
  <c r="M21" i="4"/>
  <c r="N21" i="4" s="1"/>
  <c r="M25" i="4"/>
  <c r="N26" i="4"/>
  <c r="M29" i="4"/>
  <c r="N29" i="4" s="1"/>
  <c r="M33" i="4"/>
  <c r="N33" i="4" s="1"/>
  <c r="N34" i="4"/>
  <c r="M37" i="4"/>
  <c r="N37" i="4" s="1"/>
  <c r="M41" i="4"/>
  <c r="N41" i="4" s="1"/>
  <c r="M45" i="4"/>
  <c r="N45" i="4" s="1"/>
  <c r="N46" i="4"/>
  <c r="M49" i="4"/>
  <c r="B19" i="6"/>
  <c r="B15" i="6"/>
  <c r="B16" i="6" s="1"/>
  <c r="F95" i="4"/>
  <c r="D95" i="4"/>
  <c r="E95" i="4"/>
  <c r="B95" i="4"/>
  <c r="L95" i="4" s="1"/>
  <c r="E89" i="4"/>
  <c r="X89" i="4" s="1"/>
  <c r="C89" i="4"/>
  <c r="B89" i="4"/>
  <c r="L89" i="4" s="1"/>
  <c r="E88" i="4"/>
  <c r="X88" i="4" s="1"/>
  <c r="D89" i="4"/>
  <c r="T89" i="4" s="1"/>
  <c r="U89" i="4" s="1"/>
  <c r="V89" i="4" s="1"/>
  <c r="D88" i="4"/>
  <c r="T88" i="4" s="1"/>
  <c r="U88" i="4" s="1"/>
  <c r="V88" i="4" s="1"/>
  <c r="C88" i="4"/>
  <c r="B88" i="4"/>
  <c r="L88" i="4" s="1"/>
  <c r="G89" i="4"/>
  <c r="F89" i="4"/>
  <c r="G88" i="4"/>
  <c r="F88" i="4"/>
  <c r="F87" i="4"/>
  <c r="G87" i="4"/>
  <c r="E87" i="4"/>
  <c r="D87" i="4"/>
  <c r="B87" i="4"/>
  <c r="C87" i="4"/>
  <c r="B17" i="6" l="1"/>
  <c r="B18" i="6" s="1"/>
  <c r="B21" i="6"/>
  <c r="B23" i="6"/>
  <c r="B26" i="6"/>
  <c r="B20" i="6"/>
  <c r="B22" i="6" s="1"/>
  <c r="E30" i="6" s="1"/>
  <c r="B25" i="6"/>
  <c r="B24" i="6"/>
  <c r="B47" i="6"/>
  <c r="B29" i="7"/>
  <c r="F11" i="7" s="1"/>
  <c r="B23" i="7"/>
  <c r="P88" i="4"/>
  <c r="Q88" i="4"/>
  <c r="R88" i="4" s="1"/>
  <c r="Y88" i="4"/>
  <c r="Z88" i="4" s="1"/>
  <c r="M95" i="4"/>
  <c r="N95" i="4" s="1"/>
  <c r="U87" i="4"/>
  <c r="V87" i="4" s="1"/>
  <c r="T87" i="4"/>
  <c r="M88" i="4"/>
  <c r="N88" i="4" s="1"/>
  <c r="X87" i="4"/>
  <c r="Q87" i="4"/>
  <c r="R87" i="4" s="1"/>
  <c r="P87" i="4"/>
  <c r="P89" i="4"/>
  <c r="Q89" i="4" s="1"/>
  <c r="R89" i="4" s="1"/>
  <c r="M87" i="4"/>
  <c r="N87" i="4" s="1"/>
  <c r="L87" i="4"/>
  <c r="M89" i="4"/>
  <c r="N89" i="4" s="1"/>
  <c r="B48" i="6"/>
  <c r="B49" i="6" s="1"/>
  <c r="B24" i="7" l="1"/>
  <c r="E27" i="7" s="1"/>
  <c r="B28" i="7"/>
  <c r="B27" i="6"/>
  <c r="B30" i="6"/>
  <c r="Y87" i="4"/>
  <c r="Z87" i="4" s="1"/>
  <c r="F13" i="7"/>
  <c r="G13" i="7" s="1"/>
  <c r="H13" i="7" s="1"/>
  <c r="L9" i="6"/>
  <c r="E31" i="6"/>
  <c r="E32" i="6" s="1"/>
  <c r="L11" i="6"/>
  <c r="L17" i="6" s="1"/>
  <c r="M17" i="6" s="1"/>
  <c r="N17" i="6" s="1"/>
  <c r="B58" i="1"/>
  <c r="E29" i="7" l="1"/>
  <c r="E30" i="7"/>
  <c r="E31" i="7" s="1"/>
  <c r="E32" i="7" s="1"/>
  <c r="F8" i="7"/>
  <c r="F9" i="7"/>
  <c r="F10" i="7"/>
  <c r="B35" i="7" s="1"/>
  <c r="F12" i="7" s="1"/>
  <c r="E37" i="6"/>
  <c r="E35" i="6"/>
  <c r="E33" i="6"/>
  <c r="E36" i="6"/>
  <c r="E34" i="6"/>
  <c r="L15" i="6"/>
  <c r="M15" i="6"/>
  <c r="N15" i="6" s="1"/>
  <c r="B31" i="6"/>
  <c r="B56" i="1"/>
  <c r="D18" i="1"/>
  <c r="D17" i="1"/>
  <c r="D15" i="1"/>
  <c r="D14" i="1"/>
  <c r="B19" i="1"/>
  <c r="B29" i="1" s="1"/>
  <c r="B15" i="1"/>
  <c r="B16" i="1" s="1"/>
  <c r="B17" i="1" s="1"/>
  <c r="B18" i="1" s="1"/>
  <c r="B57" i="1" s="1"/>
  <c r="B64" i="1" s="1"/>
  <c r="B22" i="1" l="1"/>
  <c r="B30" i="1"/>
  <c r="B23" i="1"/>
  <c r="B27" i="1" s="1"/>
  <c r="B31" i="1"/>
  <c r="B20" i="1"/>
  <c r="B24" i="1"/>
  <c r="B28" i="1" s="1"/>
  <c r="B32" i="1"/>
  <c r="B36" i="1" s="1"/>
  <c r="E34" i="7"/>
  <c r="E33" i="7"/>
  <c r="E35" i="7" s="1"/>
  <c r="E38" i="6"/>
  <c r="E39" i="6"/>
  <c r="B68" i="1"/>
  <c r="B21" i="1"/>
  <c r="B65" i="1"/>
  <c r="F10" i="1" s="1"/>
  <c r="B32" i="6"/>
  <c r="B34" i="6"/>
  <c r="B42" i="6"/>
  <c r="B43" i="6"/>
  <c r="B44" i="6"/>
  <c r="B35" i="6"/>
  <c r="B36" i="6"/>
  <c r="B33" i="6"/>
  <c r="L9" i="7"/>
  <c r="L15" i="7" s="1"/>
  <c r="M15" i="7" s="1"/>
  <c r="N15" i="7" s="1"/>
  <c r="L11" i="7"/>
  <c r="L17" i="7" s="1"/>
  <c r="M17" i="7" s="1"/>
  <c r="N17" i="7" s="1"/>
  <c r="B60" i="1"/>
  <c r="B44" i="1"/>
  <c r="B69" i="1"/>
  <c r="B70" i="1" s="1"/>
  <c r="B59" i="1"/>
  <c r="B41" i="1"/>
  <c r="B45" i="1"/>
  <c r="B53" i="1"/>
  <c r="B61" i="1"/>
  <c r="B46" i="1"/>
  <c r="B37" i="6" l="1"/>
  <c r="B39" i="6"/>
  <c r="F9" i="6" s="1"/>
  <c r="F8" i="6"/>
  <c r="E36" i="7"/>
  <c r="E38" i="7" s="1"/>
  <c r="E37" i="7"/>
  <c r="B33" i="1"/>
  <c r="B34" i="1"/>
  <c r="B25" i="1"/>
  <c r="F10" i="6"/>
  <c r="B50" i="6" s="1"/>
  <c r="F12" i="6" s="1"/>
  <c r="E40" i="6"/>
  <c r="E41" i="6" s="1"/>
  <c r="B35" i="1"/>
  <c r="B26" i="1"/>
  <c r="B49" i="1"/>
  <c r="B52" i="1"/>
  <c r="B50" i="1"/>
  <c r="B51" i="1"/>
  <c r="F11" i="1"/>
  <c r="F13" i="1" s="1"/>
  <c r="G13" i="1" s="1"/>
  <c r="H13" i="1" s="1"/>
  <c r="B71" i="1"/>
  <c r="F12" i="1" s="1"/>
  <c r="B48" i="1"/>
  <c r="B47" i="1"/>
  <c r="E39" i="7" l="1"/>
  <c r="E41" i="7" s="1"/>
  <c r="E40" i="7"/>
  <c r="E43" i="6"/>
  <c r="E46" i="6"/>
  <c r="E42" i="6"/>
  <c r="E45" i="6"/>
  <c r="E44" i="6"/>
  <c r="B37" i="1"/>
  <c r="B38" i="1" s="1"/>
  <c r="E41" i="1" s="1"/>
  <c r="E42" i="1" s="1"/>
  <c r="B42" i="1"/>
  <c r="B43" i="1" s="1"/>
  <c r="F8" i="1" s="1"/>
  <c r="F9" i="1"/>
  <c r="E44" i="1" l="1"/>
  <c r="E43" i="1"/>
  <c r="E45" i="1"/>
  <c r="E46" i="1" s="1"/>
  <c r="E48" i="6"/>
  <c r="E43" i="7"/>
  <c r="E42" i="7"/>
  <c r="E44" i="7" s="1"/>
  <c r="E47" i="6"/>
  <c r="E49" i="6" l="1"/>
  <c r="E50" i="6" s="1"/>
  <c r="E48" i="7"/>
  <c r="E47" i="7"/>
  <c r="E49" i="7" s="1"/>
  <c r="L10" i="7"/>
  <c r="L8" i="7"/>
  <c r="L14" i="7" s="1"/>
  <c r="M14" i="7" s="1"/>
  <c r="N14" i="7" s="1"/>
  <c r="E47" i="1"/>
  <c r="E48" i="1"/>
  <c r="E50" i="1"/>
  <c r="E51" i="1"/>
  <c r="E52" i="1"/>
  <c r="E49" i="1"/>
  <c r="E53" i="1" l="1"/>
  <c r="L9" i="1" s="1"/>
  <c r="L15" i="1" s="1"/>
  <c r="M15" i="1" s="1"/>
  <c r="N15" i="1" s="1"/>
  <c r="L8" i="1"/>
  <c r="E50" i="7"/>
  <c r="L12" i="7" s="1"/>
  <c r="E54" i="6"/>
  <c r="E51" i="6"/>
  <c r="E55" i="6"/>
  <c r="E53" i="6"/>
  <c r="E52" i="6"/>
  <c r="E56" i="6" l="1"/>
  <c r="E69" i="1"/>
  <c r="E68" i="1"/>
  <c r="E57" i="1"/>
  <c r="L14" i="1"/>
  <c r="M14" i="1" s="1"/>
  <c r="N14" i="1" s="1"/>
  <c r="E56" i="1"/>
  <c r="E57" i="6"/>
  <c r="E58" i="6" s="1"/>
  <c r="E59" i="6" s="1"/>
  <c r="E58" i="1"/>
  <c r="E70" i="1" l="1"/>
  <c r="E78" i="6"/>
  <c r="E76" i="6"/>
  <c r="E60" i="6"/>
  <c r="E77" i="6"/>
  <c r="E60" i="1"/>
  <c r="E64" i="1"/>
  <c r="E59" i="1"/>
  <c r="L11" i="1" s="1"/>
  <c r="L17" i="1" s="1"/>
  <c r="M17" i="1" s="1"/>
  <c r="N17" i="1" s="1"/>
  <c r="E65" i="1"/>
  <c r="E61" i="1"/>
  <c r="L10" i="1" l="1"/>
  <c r="E71" i="1" s="1"/>
  <c r="L12" i="1" s="1"/>
  <c r="L10" i="6"/>
  <c r="E61" i="6"/>
  <c r="E62" i="6"/>
  <c r="E63" i="6" l="1"/>
  <c r="E64" i="6" s="1"/>
  <c r="F64" i="6" l="1"/>
  <c r="E65" i="6"/>
  <c r="E67" i="6" l="1"/>
  <c r="E66" i="6"/>
  <c r="E68" i="6" s="1"/>
  <c r="F68" i="6" s="1"/>
  <c r="E69" i="6" l="1"/>
  <c r="E70" i="6" l="1"/>
  <c r="E71" i="6"/>
  <c r="E72" i="6" s="1"/>
  <c r="F72" i="6" s="1"/>
  <c r="E73" i="6" l="1"/>
  <c r="L8" i="6" l="1"/>
  <c r="E82" i="6"/>
  <c r="E81" i="6"/>
  <c r="E83" i="6" s="1"/>
  <c r="E84" i="6" s="1"/>
  <c r="L12" i="6" s="1"/>
  <c r="L14" i="6" l="1"/>
  <c r="M14" i="6" s="1"/>
  <c r="N14" i="6" l="1"/>
</calcChain>
</file>

<file path=xl/sharedStrings.xml><?xml version="1.0" encoding="utf-8"?>
<sst xmlns="http://schemas.openxmlformats.org/spreadsheetml/2006/main" count="523" uniqueCount="271">
  <si>
    <t>County</t>
  </si>
  <si>
    <t>False Easting</t>
  </si>
  <si>
    <t>Long (Cen Mer)</t>
  </si>
  <si>
    <t>(Meters)</t>
  </si>
  <si>
    <t>False Northing</t>
  </si>
  <si>
    <t>Scale</t>
  </si>
  <si>
    <t>Lat (Origin)</t>
  </si>
  <si>
    <t>(Cen Mer)</t>
  </si>
  <si>
    <t>Adams</t>
  </si>
  <si>
    <t>Ashland</t>
  </si>
  <si>
    <t>Barron</t>
  </si>
  <si>
    <t>Brown</t>
  </si>
  <si>
    <t>Buffalo</t>
  </si>
  <si>
    <t>Clark</t>
  </si>
  <si>
    <t>Dodge</t>
  </si>
  <si>
    <t>Door</t>
  </si>
  <si>
    <t>Douglas</t>
  </si>
  <si>
    <t>Dunn</t>
  </si>
  <si>
    <t>Calumet</t>
  </si>
  <si>
    <t>Florence</t>
  </si>
  <si>
    <t>Fond du Lac</t>
  </si>
  <si>
    <t>Forest</t>
  </si>
  <si>
    <t>Grant</t>
  </si>
  <si>
    <t>Iowa</t>
  </si>
  <si>
    <t>Iron</t>
  </si>
  <si>
    <t>Jackson</t>
  </si>
  <si>
    <t>Juneau</t>
  </si>
  <si>
    <t>Jefferson</t>
  </si>
  <si>
    <t>Kenosha</t>
  </si>
  <si>
    <t>Kewaunee</t>
  </si>
  <si>
    <t>LaCrosse</t>
  </si>
  <si>
    <t>Lincoln</t>
  </si>
  <si>
    <t>Manitowoc</t>
  </si>
  <si>
    <t>Marinette</t>
  </si>
  <si>
    <t>Menominee</t>
  </si>
  <si>
    <t>Milwaukee</t>
  </si>
  <si>
    <t>Oconto</t>
  </si>
  <si>
    <t>Outagamie</t>
  </si>
  <si>
    <t>Ozaukee</t>
  </si>
  <si>
    <t>Polk</t>
  </si>
  <si>
    <t>Price</t>
  </si>
  <si>
    <t>Racine</t>
  </si>
  <si>
    <t>Rock</t>
  </si>
  <si>
    <t>Rusk</t>
  </si>
  <si>
    <t>Sauk</t>
  </si>
  <si>
    <t>Shawano</t>
  </si>
  <si>
    <t>Sheboygan</t>
  </si>
  <si>
    <t>St. Croix</t>
  </si>
  <si>
    <t>Trempealeau</t>
  </si>
  <si>
    <t>Washington</t>
  </si>
  <si>
    <t>Waukesha</t>
  </si>
  <si>
    <t>Waupaca</t>
  </si>
  <si>
    <t>Winnebago</t>
  </si>
  <si>
    <t>Wisconsin Coordinate Reference Systems Parameters (Transverse Mercator)</t>
  </si>
  <si>
    <t>Lat (Cen Par)</t>
  </si>
  <si>
    <t>(Cen Par)</t>
  </si>
  <si>
    <t>Bayfield</t>
  </si>
  <si>
    <t>Burnett</t>
  </si>
  <si>
    <t>Chippewa</t>
  </si>
  <si>
    <t>Columbia</t>
  </si>
  <si>
    <t>Crawford</t>
  </si>
  <si>
    <t>Dane</t>
  </si>
  <si>
    <t>Eau Claire</t>
  </si>
  <si>
    <t>Green</t>
  </si>
  <si>
    <t>Green Lake</t>
  </si>
  <si>
    <t>Lafayette</t>
  </si>
  <si>
    <t>Langlade</t>
  </si>
  <si>
    <t>Marathon</t>
  </si>
  <si>
    <t>Marquette</t>
  </si>
  <si>
    <t>Monroe</t>
  </si>
  <si>
    <t>Oneida</t>
  </si>
  <si>
    <t>Pierce</t>
  </si>
  <si>
    <t>Pepin</t>
  </si>
  <si>
    <t>Portage</t>
  </si>
  <si>
    <t>Richland</t>
  </si>
  <si>
    <t>Sawyer</t>
  </si>
  <si>
    <t>Taylor</t>
  </si>
  <si>
    <t>Vernon</t>
  </si>
  <si>
    <t>Vilas</t>
  </si>
  <si>
    <t>Walworth</t>
  </si>
  <si>
    <t>Washburn</t>
  </si>
  <si>
    <t>Waushara</t>
  </si>
  <si>
    <t>Wood</t>
  </si>
  <si>
    <t>Parameters</t>
  </si>
  <si>
    <t>(Decimal Degrees)</t>
  </si>
  <si>
    <t>Input</t>
  </si>
  <si>
    <t>Output</t>
  </si>
  <si>
    <t>a</t>
  </si>
  <si>
    <t>b</t>
  </si>
  <si>
    <t>e</t>
  </si>
  <si>
    <t>e squared</t>
  </si>
  <si>
    <t>e'</t>
  </si>
  <si>
    <t>e' squared</t>
  </si>
  <si>
    <t>n</t>
  </si>
  <si>
    <t>r</t>
  </si>
  <si>
    <t>u2</t>
  </si>
  <si>
    <t>u4</t>
  </si>
  <si>
    <t>u6</t>
  </si>
  <si>
    <t>u8</t>
  </si>
  <si>
    <t>U0</t>
  </si>
  <si>
    <t>U2</t>
  </si>
  <si>
    <t>U4</t>
  </si>
  <si>
    <t>U6</t>
  </si>
  <si>
    <t>v2</t>
  </si>
  <si>
    <t>v4</t>
  </si>
  <si>
    <t>v6</t>
  </si>
  <si>
    <t>v8</t>
  </si>
  <si>
    <t>V0</t>
  </si>
  <si>
    <t>V2</t>
  </si>
  <si>
    <t>V4</t>
  </si>
  <si>
    <t>V6</t>
  </si>
  <si>
    <t>ω</t>
  </si>
  <si>
    <r>
      <rPr>
        <sz val="10"/>
        <rFont val="Calibri"/>
        <family val="2"/>
      </rPr>
      <t>φ</t>
    </r>
    <r>
      <rPr>
        <sz val="10"/>
        <rFont val="Arial"/>
        <family val="2"/>
      </rPr>
      <t xml:space="preserve"> (radians) =</t>
    </r>
  </si>
  <si>
    <r>
      <rPr>
        <sz val="10"/>
        <rFont val="Calibri"/>
        <family val="2"/>
      </rPr>
      <t>λ</t>
    </r>
    <r>
      <rPr>
        <sz val="10"/>
        <rFont val="Arial"/>
        <family val="2"/>
      </rPr>
      <t xml:space="preserve"> (radians) =</t>
    </r>
  </si>
  <si>
    <t>Latitude (Decimal Degrees) =</t>
  </si>
  <si>
    <t>Northing (Meters) =</t>
  </si>
  <si>
    <t>Easting (Meters) =</t>
  </si>
  <si>
    <t>Scale Factor =</t>
  </si>
  <si>
    <t>Convergence (Decimal Degrees) =</t>
  </si>
  <si>
    <t>Constants</t>
  </si>
  <si>
    <t>Direct</t>
  </si>
  <si>
    <t>L</t>
  </si>
  <si>
    <t>S</t>
  </si>
  <si>
    <t>t</t>
  </si>
  <si>
    <t>η squared</t>
  </si>
  <si>
    <t>R</t>
  </si>
  <si>
    <t>A1</t>
  </si>
  <si>
    <t>A2</t>
  </si>
  <si>
    <t>A3</t>
  </si>
  <si>
    <t>A4</t>
  </si>
  <si>
    <t>A5</t>
  </si>
  <si>
    <t>A6</t>
  </si>
  <si>
    <t>A7</t>
  </si>
  <si>
    <t>Ellipsoid Height (Meters) =</t>
  </si>
  <si>
    <t>Inverse</t>
  </si>
  <si>
    <t>Linear Distortion (Parts Per Million) =</t>
  </si>
  <si>
    <r>
      <rPr>
        <sz val="10"/>
        <rFont val="Calibri"/>
        <family val="2"/>
      </rPr>
      <t>φ</t>
    </r>
    <r>
      <rPr>
        <sz val="10"/>
        <rFont val="Arial"/>
        <family val="2"/>
      </rPr>
      <t>f</t>
    </r>
  </si>
  <si>
    <t>tf</t>
  </si>
  <si>
    <t>ηf squared</t>
  </si>
  <si>
    <t>Rf</t>
  </si>
  <si>
    <t>Q</t>
  </si>
  <si>
    <t>B2</t>
  </si>
  <si>
    <t>B3</t>
  </si>
  <si>
    <t>B4</t>
  </si>
  <si>
    <t>B5</t>
  </si>
  <si>
    <t>B6</t>
  </si>
  <si>
    <t>B7</t>
  </si>
  <si>
    <t>C1</t>
  </si>
  <si>
    <t>C3</t>
  </si>
  <si>
    <t>C5</t>
  </si>
  <si>
    <t>F2</t>
  </si>
  <si>
    <t>F4</t>
  </si>
  <si>
    <t>Linear Distortion</t>
  </si>
  <si>
    <t>ν</t>
  </si>
  <si>
    <t>ρ</t>
  </si>
  <si>
    <t>RG</t>
  </si>
  <si>
    <t>LD</t>
  </si>
  <si>
    <t>Convergence</t>
  </si>
  <si>
    <r>
      <t>(Positive East (0</t>
    </r>
    <r>
      <rPr>
        <b/>
        <sz val="10"/>
        <rFont val="Calibri"/>
        <family val="2"/>
      </rPr>
      <t>° - 360°)</t>
    </r>
  </si>
  <si>
    <t>(Positive North)</t>
  </si>
  <si>
    <t>Wisconsin Coordinate Reference Systems Parameters (Lambert Conformal Conic (Central Parallel and Scale))</t>
  </si>
  <si>
    <t>Zone</t>
  </si>
  <si>
    <t>North</t>
  </si>
  <si>
    <t xml:space="preserve">Central </t>
  </si>
  <si>
    <t>South</t>
  </si>
  <si>
    <t>Wisconsin State Plane Coordinate System (1983) Parameters (Lambert Conformal Conic (Two Standard Parallels))</t>
  </si>
  <si>
    <t>Latitude</t>
  </si>
  <si>
    <t>(North Std Parallel)</t>
  </si>
  <si>
    <t>(South Std Parallel)</t>
  </si>
  <si>
    <t>(Origin)</t>
  </si>
  <si>
    <t>Wisconsin Transverse Mercator (1983) (WTM 83)</t>
  </si>
  <si>
    <t>Longitude (Decimal Degrees) (Positive East) =</t>
  </si>
  <si>
    <t>Lambert Conformal Conic (Central Parallel and Scale) Functions</t>
  </si>
  <si>
    <t>Angular Values in Degrees, Minutes, Seconds</t>
  </si>
  <si>
    <t>Deg</t>
  </si>
  <si>
    <t>Min</t>
  </si>
  <si>
    <t>Sec</t>
  </si>
  <si>
    <t>Lat (North Std Parallel)</t>
  </si>
  <si>
    <t>Lat (South Std Parallel)</t>
  </si>
  <si>
    <t xml:space="preserve"> </t>
  </si>
  <si>
    <t xml:space="preserve">                                 Long (Cen Mer)</t>
  </si>
  <si>
    <t xml:space="preserve">                                     Lat (Origin)</t>
  </si>
  <si>
    <t>vo</t>
  </si>
  <si>
    <r>
      <rPr>
        <sz val="10"/>
        <rFont val="Calibri"/>
        <family val="2"/>
      </rPr>
      <t>φ</t>
    </r>
    <r>
      <rPr>
        <sz val="10"/>
        <rFont val="Arial"/>
        <family val="2"/>
      </rPr>
      <t>o (radians)</t>
    </r>
  </si>
  <si>
    <r>
      <rPr>
        <sz val="10"/>
        <rFont val="Calibri"/>
        <family val="2"/>
      </rPr>
      <t>λ</t>
    </r>
    <r>
      <rPr>
        <sz val="10"/>
        <rFont val="Arial"/>
        <family val="2"/>
      </rPr>
      <t>o (radians)</t>
    </r>
  </si>
  <si>
    <r>
      <rPr>
        <sz val="10"/>
        <rFont val="Calibri"/>
        <family val="2"/>
      </rPr>
      <t>φ</t>
    </r>
    <r>
      <rPr>
        <sz val="10"/>
        <rFont val="Arial"/>
        <family val="2"/>
      </rPr>
      <t xml:space="preserve"> (radians)</t>
    </r>
  </si>
  <si>
    <r>
      <rPr>
        <sz val="10"/>
        <rFont val="Calibri"/>
        <family val="2"/>
      </rPr>
      <t>λ</t>
    </r>
    <r>
      <rPr>
        <sz val="10"/>
        <rFont val="Arial"/>
        <family val="2"/>
      </rPr>
      <t xml:space="preserve"> (radians)</t>
    </r>
  </si>
  <si>
    <r>
      <rPr>
        <sz val="10"/>
        <rFont val="Calibri"/>
        <family val="2"/>
      </rPr>
      <t>ρ</t>
    </r>
    <r>
      <rPr>
        <sz val="10"/>
        <rFont val="Arial"/>
        <family val="2"/>
      </rPr>
      <t>o</t>
    </r>
  </si>
  <si>
    <t>ro</t>
  </si>
  <si>
    <t>Ao</t>
  </si>
  <si>
    <t>Mo</t>
  </si>
  <si>
    <r>
      <t>M</t>
    </r>
    <r>
      <rPr>
        <sz val="10"/>
        <rFont val="Calibri"/>
        <family val="2"/>
      </rPr>
      <t>φ</t>
    </r>
  </si>
  <si>
    <t>M</t>
  </si>
  <si>
    <t>M3</t>
  </si>
  <si>
    <t>M4</t>
  </si>
  <si>
    <t>M5</t>
  </si>
  <si>
    <t>M6</t>
  </si>
  <si>
    <t>M7</t>
  </si>
  <si>
    <t>s</t>
  </si>
  <si>
    <t>ζ</t>
  </si>
  <si>
    <t>ΔE</t>
  </si>
  <si>
    <t>J1</t>
  </si>
  <si>
    <t>J2</t>
  </si>
  <si>
    <t>J3</t>
  </si>
  <si>
    <t>v</t>
  </si>
  <si>
    <t>Ma1</t>
  </si>
  <si>
    <t>M3a1</t>
  </si>
  <si>
    <t>M4a1</t>
  </si>
  <si>
    <t>M5a1</t>
  </si>
  <si>
    <t>M6a1</t>
  </si>
  <si>
    <t>M7a1</t>
  </si>
  <si>
    <t>MinusFa1</t>
  </si>
  <si>
    <t>Partial Derivative</t>
  </si>
  <si>
    <t>ΔM</t>
  </si>
  <si>
    <t>Ma2</t>
  </si>
  <si>
    <t>M3a2</t>
  </si>
  <si>
    <t>M4a2</t>
  </si>
  <si>
    <t>M5a2</t>
  </si>
  <si>
    <t>M6a2</t>
  </si>
  <si>
    <t>M7a2</t>
  </si>
  <si>
    <t>MinusFa2</t>
  </si>
  <si>
    <t>Ma3</t>
  </si>
  <si>
    <t>M3a3</t>
  </si>
  <si>
    <t>M4a3</t>
  </si>
  <si>
    <t>M5a3</t>
  </si>
  <si>
    <t>M6a3</t>
  </si>
  <si>
    <t>M7a3</t>
  </si>
  <si>
    <t>MinusFa3</t>
  </si>
  <si>
    <t>Ma4</t>
  </si>
  <si>
    <r>
      <rPr>
        <sz val="10"/>
        <rFont val="Calibri"/>
        <family val="2"/>
      </rPr>
      <t>φ</t>
    </r>
    <r>
      <rPr>
        <sz val="10"/>
        <rFont val="Arial"/>
        <family val="2"/>
      </rPr>
      <t>1</t>
    </r>
  </si>
  <si>
    <t>MinusGa</t>
  </si>
  <si>
    <r>
      <t>Δ</t>
    </r>
    <r>
      <rPr>
        <sz val="10"/>
        <rFont val="Calibri"/>
        <family val="2"/>
      </rPr>
      <t>φ</t>
    </r>
  </si>
  <si>
    <t>Seconds</t>
  </si>
  <si>
    <t>φ2</t>
  </si>
  <si>
    <t>φ3</t>
  </si>
  <si>
    <t>φ4</t>
  </si>
  <si>
    <t>Lambert Conformal Conic (Two Standard Parallels) Functions</t>
  </si>
  <si>
    <t>Direct Transformation:</t>
  </si>
  <si>
    <t>Inverse  Transformation:</t>
  </si>
  <si>
    <r>
      <t>(Positive East (0</t>
    </r>
    <r>
      <rPr>
        <b/>
        <sz val="10"/>
        <rFont val="Calibri"/>
        <family val="2"/>
      </rPr>
      <t>° - 360°)</t>
    </r>
    <r>
      <rPr>
        <b/>
        <sz val="10"/>
        <rFont val="Arial"/>
        <family val="2"/>
      </rPr>
      <t>)</t>
    </r>
  </si>
  <si>
    <t>Qs</t>
  </si>
  <si>
    <r>
      <rPr>
        <sz val="10"/>
        <rFont val="Calibri"/>
        <family val="2"/>
      </rPr>
      <t>φs</t>
    </r>
    <r>
      <rPr>
        <sz val="10"/>
        <rFont val="Arial"/>
        <family val="2"/>
      </rPr>
      <t xml:space="preserve"> (radians)</t>
    </r>
  </si>
  <si>
    <r>
      <rPr>
        <sz val="10"/>
        <rFont val="Calibri"/>
        <family val="2"/>
      </rPr>
      <t>φn</t>
    </r>
    <r>
      <rPr>
        <sz val="10"/>
        <rFont val="Arial"/>
        <family val="2"/>
      </rPr>
      <t xml:space="preserve"> (radians)</t>
    </r>
  </si>
  <si>
    <r>
      <rPr>
        <sz val="10"/>
        <rFont val="Calibri"/>
        <family val="2"/>
      </rPr>
      <t>φb</t>
    </r>
    <r>
      <rPr>
        <sz val="10"/>
        <rFont val="Arial"/>
        <family val="2"/>
      </rPr>
      <t xml:space="preserve"> (radians)</t>
    </r>
  </si>
  <si>
    <t>Ws</t>
  </si>
  <si>
    <t>Qn</t>
  </si>
  <si>
    <t>Qb</t>
  </si>
  <si>
    <t>Wn</t>
  </si>
  <si>
    <r>
      <rPr>
        <sz val="10"/>
        <rFont val="Calibri"/>
        <family val="2"/>
      </rPr>
      <t>φ</t>
    </r>
    <r>
      <rPr>
        <sz val="10"/>
        <rFont val="Arial"/>
        <family val="2"/>
      </rPr>
      <t>o</t>
    </r>
  </si>
  <si>
    <t>K</t>
  </si>
  <si>
    <t>Rb</t>
  </si>
  <si>
    <t>R'</t>
  </si>
  <si>
    <t>E'</t>
  </si>
  <si>
    <t>Convergence (degrees)</t>
  </si>
  <si>
    <t>f1</t>
  </si>
  <si>
    <t>f2</t>
  </si>
  <si>
    <r>
      <rPr>
        <sz val="10"/>
        <rFont val="Calibri"/>
        <family val="2"/>
      </rPr>
      <t>φ</t>
    </r>
    <r>
      <rPr>
        <sz val="10"/>
        <rFont val="Arial"/>
        <family val="2"/>
      </rPr>
      <t>a1</t>
    </r>
  </si>
  <si>
    <r>
      <rPr>
        <sz val="10"/>
        <rFont val="Calibri"/>
        <family val="2"/>
      </rPr>
      <t>φ</t>
    </r>
    <r>
      <rPr>
        <sz val="10"/>
        <rFont val="Arial"/>
        <family val="2"/>
      </rPr>
      <t>a2</t>
    </r>
  </si>
  <si>
    <r>
      <rPr>
        <sz val="10"/>
        <rFont val="Calibri"/>
        <family val="2"/>
      </rPr>
      <t>φ</t>
    </r>
    <r>
      <rPr>
        <sz val="10"/>
        <rFont val="Arial"/>
        <family val="2"/>
      </rPr>
      <t>a3</t>
    </r>
  </si>
  <si>
    <r>
      <rPr>
        <sz val="10"/>
        <rFont val="Calibri"/>
        <family val="2"/>
      </rPr>
      <t>φ</t>
    </r>
    <r>
      <rPr>
        <sz val="10"/>
        <rFont val="Arial"/>
        <family val="2"/>
      </rPr>
      <t>a4</t>
    </r>
  </si>
  <si>
    <r>
      <rPr>
        <sz val="10"/>
        <rFont val="Calibri"/>
        <family val="2"/>
      </rPr>
      <t>φ</t>
    </r>
    <r>
      <rPr>
        <sz val="10"/>
        <rFont val="Arial"/>
        <family val="2"/>
      </rPr>
      <t>a5</t>
    </r>
  </si>
  <si>
    <t>Transverse Mercator Functions</t>
  </si>
  <si>
    <t>Convergence (radians)</t>
  </si>
  <si>
    <r>
      <rPr>
        <sz val="10"/>
        <rFont val="Calibri"/>
        <family val="2"/>
      </rPr>
      <t>φo</t>
    </r>
    <r>
      <rPr>
        <sz val="10"/>
        <rFont val="Arial"/>
        <family val="2"/>
      </rPr>
      <t xml:space="preserve"> (radians) =</t>
    </r>
  </si>
  <si>
    <r>
      <rPr>
        <sz val="10"/>
        <rFont val="Calibri"/>
        <family val="2"/>
      </rPr>
      <t>λo</t>
    </r>
    <r>
      <rPr>
        <sz val="10"/>
        <rFont val="Arial"/>
        <family val="2"/>
      </rPr>
      <t xml:space="preserve"> (radians) =</t>
    </r>
  </si>
  <si>
    <t>ωo</t>
  </si>
  <si>
    <t>So</t>
  </si>
  <si>
    <t>Latitude (degrees, minutes,seconds) =</t>
  </si>
  <si>
    <t>Longitude (degrees, minutes,seconds) =</t>
  </si>
  <si>
    <t>Convergence (deg, min,sec) =</t>
  </si>
  <si>
    <t>Convergence (deg,min,sec)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</si>
</sst>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0000"/>
    <numFmt numFmtId="165" formatCode="0.0000000000"/>
    <numFmt numFmtId="166" formatCode="0.000000000000"/>
    <numFmt numFmtId="167" formatCode="0.000"/>
    <numFmt numFmtId="168" formatCode="0.0000"/>
    <numFmt numFmtId="169" formatCode="0.00000"/>
    <numFmt numFmtId="170" formatCode="0.000000"/>
    <numFmt numFmtId="171" formatCode="0.00000000"/>
    <numFmt numFmtId="172" formatCode="0.0000000000000"/>
    <numFmt numFmtId="173" formatCode="0.0000000000000000"/>
    <numFmt numFmtId="174" formatCode="0.0000000000000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165" fontId="0" fillId="0" borderId="0" xfId="0" applyNumberFormat="1"/>
    <xf numFmtId="169" fontId="0" fillId="0" borderId="0" xfId="0" applyNumberFormat="1"/>
    <xf numFmtId="0" fontId="1" fillId="0" borderId="0" xfId="0" applyFont="1" applyAlignment="1">
      <alignment horizontal="center"/>
    </xf>
    <xf numFmtId="169" fontId="1" fillId="0" borderId="0" xfId="0" applyNumberFormat="1" applyFont="1" applyAlignment="1">
      <alignment horizontal="center"/>
    </xf>
    <xf numFmtId="168" fontId="0" fillId="0" borderId="0" xfId="0" applyNumberFormat="1"/>
    <xf numFmtId="167" fontId="0" fillId="0" borderId="0" xfId="0" applyNumberFormat="1" applyAlignment="1">
      <alignment horizontal="right"/>
    </xf>
    <xf numFmtId="0" fontId="3" fillId="0" borderId="0" xfId="0" applyFont="1"/>
    <xf numFmtId="169" fontId="3" fillId="0" borderId="0" xfId="0" applyNumberFormat="1" applyFont="1"/>
    <xf numFmtId="168" fontId="1" fillId="0" borderId="0" xfId="0" applyNumberFormat="1" applyFont="1"/>
    <xf numFmtId="168" fontId="3" fillId="0" borderId="0" xfId="0" applyNumberFormat="1" applyFont="1"/>
    <xf numFmtId="167" fontId="1" fillId="0" borderId="0" xfId="0" applyNumberFormat="1" applyFont="1" applyAlignment="1">
      <alignment horizontal="left"/>
    </xf>
    <xf numFmtId="164" fontId="0" fillId="0" borderId="0" xfId="0" applyNumberFormat="1"/>
    <xf numFmtId="166" fontId="0" fillId="0" borderId="0" xfId="0" applyNumberFormat="1"/>
    <xf numFmtId="166" fontId="3" fillId="0" borderId="0" xfId="0" applyNumberFormat="1" applyFont="1"/>
    <xf numFmtId="166" fontId="4" fillId="0" borderId="0" xfId="0" applyNumberFormat="1" applyFont="1"/>
    <xf numFmtId="166" fontId="1" fillId="0" borderId="0" xfId="0" applyNumberFormat="1" applyFont="1"/>
    <xf numFmtId="1" fontId="0" fillId="0" borderId="0" xfId="0" applyNumberFormat="1"/>
    <xf numFmtId="0" fontId="4" fillId="0" borderId="0" xfId="0" applyFont="1"/>
    <xf numFmtId="170" fontId="0" fillId="0" borderId="0" xfId="0" applyNumberFormat="1"/>
    <xf numFmtId="171" fontId="0" fillId="0" borderId="0" xfId="0" applyNumberFormat="1"/>
    <xf numFmtId="171" fontId="3" fillId="0" borderId="0" xfId="0" applyNumberFormat="1" applyFont="1"/>
    <xf numFmtId="172" fontId="0" fillId="0" borderId="0" xfId="0" applyNumberFormat="1"/>
    <xf numFmtId="165" fontId="3" fillId="0" borderId="0" xfId="0" applyNumberFormat="1" applyFont="1"/>
    <xf numFmtId="173" fontId="0" fillId="0" borderId="0" xfId="0" applyNumberFormat="1"/>
    <xf numFmtId="174" fontId="0" fillId="0" borderId="0" xfId="0" applyNumberFormat="1"/>
    <xf numFmtId="2" fontId="0" fillId="0" borderId="0" xfId="0" applyNumberFormat="1"/>
    <xf numFmtId="165" fontId="6" fillId="0" borderId="0" xfId="0" applyNumberFormat="1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7"/>
  <sheetViews>
    <sheetView tabSelected="1" workbookViewId="0">
      <selection activeCell="B14" sqref="B14"/>
    </sheetView>
  </sheetViews>
  <sheetFormatPr defaultRowHeight="13.2" x14ac:dyDescent="0.25"/>
  <cols>
    <col min="1" max="1" width="11.33203125" customWidth="1"/>
    <col min="2" max="2" width="21.6640625" customWidth="1"/>
    <col min="3" max="3" width="39" customWidth="1"/>
    <col min="4" max="4" width="22.77734375" customWidth="1"/>
    <col min="5" max="5" width="31.21875" customWidth="1"/>
    <col min="6" max="6" width="21.5546875" customWidth="1"/>
    <col min="7" max="7" width="15.5546875" customWidth="1"/>
    <col min="8" max="8" width="10.5546875" customWidth="1"/>
    <col min="9" max="9" width="22.6640625" customWidth="1"/>
    <col min="10" max="10" width="19.77734375" customWidth="1"/>
    <col min="11" max="11" width="39.33203125" customWidth="1"/>
    <col min="12" max="12" width="16.6640625" customWidth="1"/>
    <col min="13" max="13" width="9" customWidth="1"/>
    <col min="14" max="14" width="16.5546875" customWidth="1"/>
  </cols>
  <sheetData>
    <row r="1" spans="1:14" x14ac:dyDescent="0.25">
      <c r="A1" s="1" t="s">
        <v>261</v>
      </c>
    </row>
    <row r="2" spans="1:14" x14ac:dyDescent="0.25">
      <c r="G2" s="3"/>
    </row>
    <row r="3" spans="1:14" x14ac:dyDescent="0.25">
      <c r="A3" s="1" t="s">
        <v>83</v>
      </c>
      <c r="B3" s="4" t="s">
        <v>2</v>
      </c>
      <c r="C3" s="4" t="s">
        <v>6</v>
      </c>
      <c r="D3" s="4" t="s">
        <v>1</v>
      </c>
      <c r="E3" s="4" t="s">
        <v>4</v>
      </c>
      <c r="F3" s="4" t="s">
        <v>5</v>
      </c>
      <c r="G3" s="5"/>
      <c r="H3" s="4"/>
    </row>
    <row r="4" spans="1:14" x14ac:dyDescent="0.25">
      <c r="B4" s="4" t="s">
        <v>84</v>
      </c>
      <c r="C4" s="4" t="s">
        <v>84</v>
      </c>
      <c r="D4" s="4" t="s">
        <v>3</v>
      </c>
      <c r="E4" s="4" t="s">
        <v>3</v>
      </c>
      <c r="F4" s="4" t="s">
        <v>7</v>
      </c>
      <c r="G4" s="4"/>
      <c r="H4" s="4"/>
    </row>
    <row r="5" spans="1:14" x14ac:dyDescent="0.25">
      <c r="B5" s="14">
        <v>272.28888888888889</v>
      </c>
      <c r="C5" s="14">
        <v>44.691666666666663</v>
      </c>
      <c r="D5" s="6">
        <v>238658.87943999999</v>
      </c>
      <c r="E5" s="6">
        <v>3.2399999999999998E-3</v>
      </c>
      <c r="F5" s="2">
        <v>1.0000234982</v>
      </c>
      <c r="G5" s="7"/>
      <c r="H5" s="7"/>
    </row>
    <row r="6" spans="1:14" x14ac:dyDescent="0.25">
      <c r="D6" s="6"/>
      <c r="E6" s="6"/>
      <c r="F6" s="2"/>
      <c r="G6" s="7"/>
      <c r="H6" s="7"/>
    </row>
    <row r="7" spans="1:14" x14ac:dyDescent="0.25">
      <c r="A7" s="1" t="s">
        <v>237</v>
      </c>
      <c r="C7" s="1" t="s">
        <v>85</v>
      </c>
      <c r="D7" s="6"/>
      <c r="E7" s="10" t="s">
        <v>86</v>
      </c>
      <c r="F7" s="2"/>
      <c r="G7" s="12" t="s">
        <v>238</v>
      </c>
      <c r="H7" s="7"/>
      <c r="I7" s="1" t="s">
        <v>85</v>
      </c>
      <c r="J7" s="6"/>
      <c r="K7" s="10" t="s">
        <v>86</v>
      </c>
    </row>
    <row r="8" spans="1:14" ht="14.4" x14ac:dyDescent="0.3">
      <c r="B8" s="8"/>
      <c r="C8" s="8" t="s">
        <v>114</v>
      </c>
      <c r="D8" s="28">
        <v>45.653549001000002</v>
      </c>
      <c r="E8" s="11" t="s">
        <v>115</v>
      </c>
      <c r="F8" s="6">
        <f>B43-B38+E5+B48*B41*B41*(1+B41*B41*(B50+B52*B41*B41))</f>
        <v>107127.69872728335</v>
      </c>
      <c r="G8" s="7"/>
      <c r="H8" s="7"/>
      <c r="I8" s="8" t="s">
        <v>115</v>
      </c>
      <c r="J8" s="6">
        <v>107130.72470000001</v>
      </c>
      <c r="K8" s="11" t="s">
        <v>114</v>
      </c>
      <c r="L8" s="2">
        <f>DEGREES(E42+E47*E46*E46*(1+E46*E46*(E49+E51*E46*E46)))</f>
        <v>45.65357634267329</v>
      </c>
    </row>
    <row r="9" spans="1:14" ht="14.4" x14ac:dyDescent="0.3">
      <c r="C9" s="9" t="s">
        <v>171</v>
      </c>
      <c r="D9" s="28">
        <v>271.606912002</v>
      </c>
      <c r="E9" s="11" t="s">
        <v>116</v>
      </c>
      <c r="F9" s="6">
        <f>D5+B47*B41*(1+B41*B41*(B49+B41*B41*(B51+B53*B41*B41)))</f>
        <v>185500.73794182195</v>
      </c>
      <c r="G9" s="7"/>
      <c r="H9" s="7"/>
      <c r="I9" s="9" t="s">
        <v>116</v>
      </c>
      <c r="J9" s="6">
        <v>185502.28779999999</v>
      </c>
      <c r="K9" s="11" t="s">
        <v>171</v>
      </c>
      <c r="L9" s="2">
        <f>DEGREES(D15-E53/COS(E42))</f>
        <v>271.606931553609</v>
      </c>
    </row>
    <row r="10" spans="1:14" x14ac:dyDescent="0.25">
      <c r="C10" s="3" t="s">
        <v>133</v>
      </c>
      <c r="D10" s="6">
        <v>350</v>
      </c>
      <c r="E10" s="11" t="s">
        <v>117</v>
      </c>
      <c r="F10" s="2">
        <f>F5*(1+B64*B58*B58*(1+B65*B58*B58))</f>
        <v>1.0000582240098785</v>
      </c>
      <c r="G10" s="7"/>
      <c r="H10" s="7"/>
      <c r="I10" s="9" t="s">
        <v>133</v>
      </c>
      <c r="J10" s="6">
        <v>200</v>
      </c>
      <c r="K10" s="11" t="s">
        <v>117</v>
      </c>
      <c r="L10" s="2">
        <f>F5*(1+E64*E58*E58*(1+E65*E58*E58))</f>
        <v>1.00005822198477</v>
      </c>
    </row>
    <row r="11" spans="1:14" x14ac:dyDescent="0.25">
      <c r="C11" s="3"/>
      <c r="D11" s="6"/>
      <c r="E11" s="11" t="s">
        <v>118</v>
      </c>
      <c r="F11" s="2">
        <f>DEGREES(B59*B58*(1+B58*B58*(B60+B61*B58*B58)))</f>
        <v>-0.48771095703386114</v>
      </c>
      <c r="G11" s="7"/>
      <c r="H11" s="7"/>
      <c r="I11" s="3"/>
      <c r="J11" s="6"/>
      <c r="K11" s="11" t="s">
        <v>118</v>
      </c>
      <c r="L11" s="2">
        <f>DEGREES(E59*E58*(1+E58*E58*(E60+E61*E58*E58)))</f>
        <v>-0.48769720165623892</v>
      </c>
    </row>
    <row r="12" spans="1:14" x14ac:dyDescent="0.25">
      <c r="A12" s="1" t="s">
        <v>119</v>
      </c>
      <c r="C12" s="3"/>
      <c r="D12" s="6"/>
      <c r="E12" s="11" t="s">
        <v>135</v>
      </c>
      <c r="F12" s="18">
        <f>INT(ROUND(B71*1000000,0))</f>
        <v>3</v>
      </c>
      <c r="G12" s="7"/>
      <c r="H12" s="7"/>
      <c r="K12" s="11" t="s">
        <v>135</v>
      </c>
      <c r="L12" s="18">
        <f>INT(ROUND(E71*1000000,0))</f>
        <v>27</v>
      </c>
    </row>
    <row r="13" spans="1:14" x14ac:dyDescent="0.25">
      <c r="A13" s="8" t="s">
        <v>87</v>
      </c>
      <c r="B13" s="13">
        <v>6378137</v>
      </c>
      <c r="C13" s="3"/>
      <c r="D13" s="6"/>
      <c r="E13" s="6" t="s">
        <v>269</v>
      </c>
      <c r="F13" s="18">
        <f>INT(TRUNC(F11))</f>
        <v>0</v>
      </c>
      <c r="G13">
        <f>INT(TRUNC((F11-F13)*60))</f>
        <v>-29</v>
      </c>
      <c r="H13" s="27">
        <f>(F11-F13)*3600-G13*60</f>
        <v>-15.759445321900102</v>
      </c>
    </row>
    <row r="14" spans="1:14" ht="13.8" x14ac:dyDescent="0.3">
      <c r="A14" s="8" t="s">
        <v>88</v>
      </c>
      <c r="B14" s="29">
        <v>6356752.3141403003</v>
      </c>
      <c r="C14" s="9" t="s">
        <v>263</v>
      </c>
      <c r="D14" s="14">
        <f>RADIANS(C5)</f>
        <v>0.78001673153713236</v>
      </c>
      <c r="E14" s="6"/>
      <c r="F14" s="2"/>
      <c r="G14" s="7"/>
      <c r="H14" s="7"/>
      <c r="K14" s="11" t="s">
        <v>267</v>
      </c>
      <c r="L14" s="18">
        <f>INT(TRUNC(L8))</f>
        <v>45</v>
      </c>
      <c r="M14">
        <f>INT(TRUNC((L8-L14)*60))</f>
        <v>39</v>
      </c>
      <c r="N14" s="20">
        <f>(L8-L14)*3600-M14*60</f>
        <v>12.874833623843642</v>
      </c>
    </row>
    <row r="15" spans="1:14" ht="13.8" x14ac:dyDescent="0.3">
      <c r="A15" s="8" t="s">
        <v>89</v>
      </c>
      <c r="B15" s="14">
        <f>SQRT((B13*B13-B14*B14)/(B13*B13))</f>
        <v>8.1819191042921971E-2</v>
      </c>
      <c r="C15" s="9" t="s">
        <v>264</v>
      </c>
      <c r="D15" s="14">
        <f>RADIANS(B5)</f>
        <v>4.7523376277081155</v>
      </c>
      <c r="E15" s="6"/>
      <c r="F15" s="2"/>
      <c r="G15" s="7"/>
      <c r="H15" s="7"/>
      <c r="K15" s="11" t="s">
        <v>268</v>
      </c>
      <c r="L15" s="18">
        <f>INT(TRUNC(L9))</f>
        <v>271</v>
      </c>
      <c r="M15">
        <f>INT(TRUNC((L9-L15)*60))</f>
        <v>36</v>
      </c>
      <c r="N15" s="20">
        <f>(L9-L15)*3600-M15*60</f>
        <v>24.953592992405902</v>
      </c>
    </row>
    <row r="16" spans="1:14" x14ac:dyDescent="0.25">
      <c r="A16" s="8" t="s">
        <v>90</v>
      </c>
      <c r="B16" s="14">
        <f>B15*B15</f>
        <v>6.6943800229181628E-3</v>
      </c>
      <c r="C16" s="3"/>
      <c r="D16" s="14"/>
      <c r="E16" s="6"/>
      <c r="F16" s="2"/>
      <c r="G16" s="7"/>
      <c r="H16" s="7"/>
    </row>
    <row r="17" spans="1:14" ht="13.8" x14ac:dyDescent="0.3">
      <c r="A17" s="8" t="s">
        <v>91</v>
      </c>
      <c r="B17" s="14">
        <f>SQRT(B16/(1-B16))</f>
        <v>8.2094438152024454E-2</v>
      </c>
      <c r="C17" s="9" t="s">
        <v>112</v>
      </c>
      <c r="D17" s="14">
        <f>RADIANS(D8)</f>
        <v>0.79680474528801803</v>
      </c>
      <c r="E17" s="6"/>
      <c r="F17" s="2"/>
      <c r="G17" s="7"/>
      <c r="H17" s="7"/>
      <c r="K17" s="11" t="s">
        <v>270</v>
      </c>
      <c r="L17" s="18">
        <f>INT(TRUNC(L11))</f>
        <v>0</v>
      </c>
      <c r="M17">
        <f>INT(TRUNC((L11-L17)*60))</f>
        <v>-29</v>
      </c>
      <c r="N17" s="27">
        <f>(L11-L17)*3600-M17*60</f>
        <v>-15.709925962460147</v>
      </c>
    </row>
    <row r="18" spans="1:14" ht="13.8" x14ac:dyDescent="0.3">
      <c r="A18" s="8" t="s">
        <v>92</v>
      </c>
      <c r="B18" s="14">
        <f>B17*B17</f>
        <v>6.7394967754965682E-3</v>
      </c>
      <c r="C18" s="9" t="s">
        <v>113</v>
      </c>
      <c r="D18" s="14">
        <f>RADIANS(D9)</f>
        <v>4.7404348856094032</v>
      </c>
      <c r="E18" s="6"/>
      <c r="F18" s="2"/>
      <c r="G18" s="7"/>
      <c r="H18" s="7"/>
    </row>
    <row r="19" spans="1:14" x14ac:dyDescent="0.25">
      <c r="A19" s="8" t="s">
        <v>93</v>
      </c>
      <c r="B19" s="14">
        <f>(B13-B14)/(B13+B14)</f>
        <v>1.6792203946331165E-3</v>
      </c>
      <c r="C19" s="3"/>
      <c r="D19" s="14"/>
      <c r="E19" s="6"/>
      <c r="F19" s="2"/>
      <c r="G19" s="7"/>
      <c r="H19" s="7"/>
    </row>
    <row r="20" spans="1:14" x14ac:dyDescent="0.25">
      <c r="A20" s="8" t="s">
        <v>94</v>
      </c>
      <c r="B20" s="13">
        <f>B13*(1-B19)*(1-B19*B19)*(1+9*(B19^2)/4+225*(B19^4)/64)</f>
        <v>6367449.1457710201</v>
      </c>
      <c r="C20" s="11"/>
      <c r="D20" s="18"/>
      <c r="F20" s="20"/>
      <c r="G20" s="7"/>
      <c r="H20" s="7"/>
    </row>
    <row r="21" spans="1:14" x14ac:dyDescent="0.25">
      <c r="A21" s="8" t="s">
        <v>95</v>
      </c>
      <c r="B21" s="14">
        <f>-3*B19/2+9*(B19^3)/16</f>
        <v>-2.5188279284930563E-3</v>
      </c>
      <c r="C21" s="11"/>
      <c r="D21" s="18"/>
      <c r="F21" s="20"/>
      <c r="G21" s="7"/>
      <c r="H21" s="7"/>
    </row>
    <row r="22" spans="1:14" x14ac:dyDescent="0.25">
      <c r="A22" s="8" t="s">
        <v>96</v>
      </c>
      <c r="B22" s="14">
        <f>15*(B19^2)/16-15*(B19^4)/32</f>
        <v>2.6435410857834174E-6</v>
      </c>
      <c r="C22" s="3"/>
      <c r="D22" s="14"/>
      <c r="E22" s="6"/>
      <c r="F22" s="2"/>
      <c r="G22" s="7"/>
      <c r="H22" s="7"/>
    </row>
    <row r="23" spans="1:14" x14ac:dyDescent="0.25">
      <c r="A23" s="8" t="s">
        <v>97</v>
      </c>
      <c r="B23" s="14">
        <f>-35*(B19)^3/48</f>
        <v>-3.4526289497274994E-9</v>
      </c>
      <c r="C23" s="3"/>
      <c r="D23" s="14"/>
      <c r="E23" s="6"/>
      <c r="F23" s="2"/>
      <c r="G23" s="7"/>
      <c r="H23" s="7"/>
    </row>
    <row r="24" spans="1:14" x14ac:dyDescent="0.25">
      <c r="A24" s="8" t="s">
        <v>98</v>
      </c>
      <c r="B24" s="14">
        <f>315*(B19)^4/512</f>
        <v>4.8918304244388941E-12</v>
      </c>
      <c r="D24" s="14"/>
      <c r="E24" s="6"/>
      <c r="F24" s="2"/>
      <c r="G24" s="7"/>
      <c r="H24" s="7"/>
    </row>
    <row r="25" spans="1:14" x14ac:dyDescent="0.25">
      <c r="A25" s="8" t="s">
        <v>99</v>
      </c>
      <c r="B25" s="14">
        <f>2*(B21-2*B22+3*B23-4*B24)</f>
        <v>-5.0482507762375879E-3</v>
      </c>
      <c r="C25" s="3"/>
      <c r="D25" s="14"/>
      <c r="E25" s="6"/>
      <c r="F25" s="2"/>
      <c r="G25" s="7"/>
      <c r="H25" s="7"/>
    </row>
    <row r="26" spans="1:14" x14ac:dyDescent="0.25">
      <c r="A26" s="8" t="s">
        <v>100</v>
      </c>
      <c r="B26" s="14">
        <f>8*(B22-4*B23+10*B24)</f>
        <v>2.1259204159092573E-5</v>
      </c>
      <c r="C26" s="3"/>
      <c r="D26" s="14"/>
      <c r="E26" s="6"/>
      <c r="F26" s="2"/>
      <c r="G26" s="7"/>
      <c r="H26" s="7"/>
    </row>
    <row r="27" spans="1:14" x14ac:dyDescent="0.25">
      <c r="A27" s="8" t="s">
        <v>101</v>
      </c>
      <c r="B27" s="14">
        <f>32*(B23-6*B24)</f>
        <v>-1.1142335783277225E-7</v>
      </c>
      <c r="C27" s="3"/>
      <c r="D27" s="14"/>
      <c r="E27" s="6"/>
      <c r="F27" s="2"/>
      <c r="G27" s="7"/>
      <c r="H27" s="7"/>
    </row>
    <row r="28" spans="1:14" x14ac:dyDescent="0.25">
      <c r="A28" s="8" t="s">
        <v>102</v>
      </c>
      <c r="B28" s="14">
        <f>128*B24</f>
        <v>6.2615429432817844E-10</v>
      </c>
      <c r="C28" s="3"/>
      <c r="D28" s="6"/>
      <c r="E28" s="6"/>
      <c r="F28" s="2"/>
      <c r="G28" s="7"/>
      <c r="H28" s="7"/>
    </row>
    <row r="29" spans="1:14" x14ac:dyDescent="0.25">
      <c r="A29" s="8" t="s">
        <v>103</v>
      </c>
      <c r="B29" s="14">
        <f>3*B19/2-27*(B19^3)/32</f>
        <v>2.518826596764747E-3</v>
      </c>
      <c r="C29" s="3"/>
      <c r="D29" s="6"/>
      <c r="E29" s="6"/>
      <c r="F29" s="2"/>
      <c r="G29" s="7"/>
      <c r="H29" s="7"/>
    </row>
    <row r="30" spans="1:14" x14ac:dyDescent="0.25">
      <c r="A30" s="8" t="s">
        <v>104</v>
      </c>
      <c r="B30" s="14">
        <f>21*B19*B19/16-55*(B19^4)/32</f>
        <v>3.7009490719832886E-6</v>
      </c>
      <c r="C30" s="3"/>
      <c r="D30" s="6"/>
      <c r="E30" s="6"/>
      <c r="F30" s="2"/>
      <c r="G30" s="7"/>
      <c r="H30" s="7"/>
    </row>
    <row r="31" spans="1:14" x14ac:dyDescent="0.25">
      <c r="A31" s="8" t="s">
        <v>105</v>
      </c>
      <c r="B31" s="14">
        <f>151*(B19^3)/96</f>
        <v>7.4478138772693193E-9</v>
      </c>
      <c r="C31" s="3"/>
      <c r="D31" s="6"/>
      <c r="E31" s="6"/>
      <c r="F31" s="2"/>
      <c r="G31" s="7"/>
      <c r="H31" s="7"/>
    </row>
    <row r="32" spans="1:14" x14ac:dyDescent="0.25">
      <c r="A32" s="8" t="s">
        <v>106</v>
      </c>
      <c r="B32" s="14">
        <f>1097*(B19^4)/512</f>
        <v>1.7035993573363386E-11</v>
      </c>
      <c r="C32" s="3"/>
      <c r="D32" s="6"/>
      <c r="E32" s="6"/>
      <c r="F32" s="2"/>
      <c r="G32" s="7"/>
      <c r="H32" s="7"/>
    </row>
    <row r="33" spans="1:11" x14ac:dyDescent="0.25">
      <c r="A33" s="15" t="s">
        <v>107</v>
      </c>
      <c r="B33" s="14">
        <f>2*(B29-2*B30+3*B31-4*B32)</f>
        <v>5.0228939478368755E-3</v>
      </c>
      <c r="C33" s="3"/>
      <c r="D33" s="6"/>
      <c r="E33" s="6"/>
      <c r="F33" s="2"/>
      <c r="G33" s="7"/>
      <c r="H33" s="7"/>
      <c r="I33" s="3"/>
      <c r="K33" s="2"/>
    </row>
    <row r="34" spans="1:11" x14ac:dyDescent="0.25">
      <c r="A34" s="15" t="s">
        <v>108</v>
      </c>
      <c r="B34" s="14">
        <f>8*(B30-4*B31+10*B32)</f>
        <v>2.9370625411279559E-5</v>
      </c>
      <c r="D34" s="6"/>
      <c r="E34" s="6"/>
      <c r="F34" s="2"/>
      <c r="G34" s="7"/>
      <c r="H34" s="7"/>
    </row>
    <row r="35" spans="1:11" x14ac:dyDescent="0.25">
      <c r="A35" s="15" t="s">
        <v>109</v>
      </c>
      <c r="B35" s="14">
        <f>32*(B31-6*B32)</f>
        <v>2.3505913330653246E-7</v>
      </c>
      <c r="D35" s="6"/>
      <c r="E35" s="6"/>
      <c r="F35" s="2"/>
      <c r="G35" s="7"/>
      <c r="H35" s="7"/>
    </row>
    <row r="36" spans="1:11" x14ac:dyDescent="0.25">
      <c r="A36" s="15" t="s">
        <v>110</v>
      </c>
      <c r="B36" s="14">
        <f>128*B32</f>
        <v>2.1806071773905134E-9</v>
      </c>
      <c r="D36" s="6"/>
      <c r="E36" s="6"/>
      <c r="F36" s="2"/>
      <c r="G36" s="7"/>
      <c r="H36" s="7"/>
    </row>
    <row r="37" spans="1:11" ht="13.8" x14ac:dyDescent="0.3">
      <c r="A37" s="16" t="s">
        <v>265</v>
      </c>
      <c r="B37" s="14">
        <f>D14+SIN(D14)*COS(D14)*(B25+B26*(COS(D14)^2)+B27*(COS(D14)^4)+B28*(COS(D14)^6))</f>
        <v>0.77749810984715106</v>
      </c>
      <c r="D37" s="6"/>
      <c r="E37" s="6"/>
      <c r="F37" s="2"/>
      <c r="G37" s="7"/>
      <c r="H37" s="7"/>
    </row>
    <row r="38" spans="1:11" x14ac:dyDescent="0.25">
      <c r="A38" s="15" t="s">
        <v>266</v>
      </c>
      <c r="B38" s="14">
        <f>F5*B37*B20</f>
        <v>4950796.0074459733</v>
      </c>
      <c r="D38" s="6"/>
      <c r="E38" s="6"/>
      <c r="F38" s="2"/>
      <c r="G38" s="7"/>
      <c r="H38" s="7"/>
    </row>
    <row r="39" spans="1:11" x14ac:dyDescent="0.25">
      <c r="A39" s="14"/>
      <c r="B39" s="14"/>
      <c r="D39" s="6"/>
      <c r="E39" s="6"/>
      <c r="F39" s="2"/>
      <c r="G39" s="7"/>
      <c r="H39" s="7"/>
    </row>
    <row r="40" spans="1:11" x14ac:dyDescent="0.25">
      <c r="A40" s="17" t="s">
        <v>120</v>
      </c>
      <c r="B40" s="14"/>
      <c r="D40" s="10" t="s">
        <v>134</v>
      </c>
      <c r="E40" s="6"/>
      <c r="F40" s="2"/>
      <c r="G40" s="7"/>
      <c r="H40" s="7"/>
    </row>
    <row r="41" spans="1:11" x14ac:dyDescent="0.25">
      <c r="A41" s="15" t="s">
        <v>121</v>
      </c>
      <c r="B41" s="15">
        <f>-(D18-D15)*COS(D17)</f>
        <v>8.3199605973905549E-3</v>
      </c>
      <c r="D41" s="11" t="s">
        <v>111</v>
      </c>
      <c r="E41" s="14">
        <f>(J8-E5+B38)/(F5*B20)</f>
        <v>0.79432246159108033</v>
      </c>
      <c r="F41" s="2"/>
      <c r="G41" s="7"/>
      <c r="H41" s="7"/>
    </row>
    <row r="42" spans="1:11" ht="13.8" x14ac:dyDescent="0.3">
      <c r="A42" s="16" t="s">
        <v>111</v>
      </c>
      <c r="B42" s="14">
        <f>D17+SIN(D17)*COS(D17)*(B25+B26*(COS(D17)^2)+B27*(COS(D17)^4)+B28*(COS(D17)^6))</f>
        <v>0.79428645565282308</v>
      </c>
      <c r="D42" s="11" t="s">
        <v>136</v>
      </c>
      <c r="E42" s="15">
        <f>E41+SIN(E41)*COS(E41)*(B33+B34*(COS(E41))^2+B35*(COS(E41))^4+B36*(COS(E41))^6)</f>
        <v>0.79684074746282807</v>
      </c>
      <c r="F42" s="2"/>
      <c r="G42" s="7"/>
      <c r="H42" s="7"/>
    </row>
    <row r="43" spans="1:11" x14ac:dyDescent="0.25">
      <c r="A43" s="15" t="s">
        <v>122</v>
      </c>
      <c r="B43" s="14">
        <f>F5*B42*B20</f>
        <v>5057697.4575378364</v>
      </c>
      <c r="D43" s="11" t="s">
        <v>137</v>
      </c>
      <c r="E43" s="14">
        <f>TAN(E42)</f>
        <v>1.0231510868082545</v>
      </c>
      <c r="F43" s="2"/>
      <c r="G43" s="7"/>
      <c r="H43" s="7"/>
    </row>
    <row r="44" spans="1:11" x14ac:dyDescent="0.25">
      <c r="A44" s="15" t="s">
        <v>123</v>
      </c>
      <c r="B44" s="14">
        <f>TAN(D17)</f>
        <v>1.0230773988978099</v>
      </c>
      <c r="D44" s="11" t="s">
        <v>138</v>
      </c>
      <c r="E44" s="14">
        <f>B18*(COS(E42))^2</f>
        <v>3.2926378606088244E-3</v>
      </c>
      <c r="F44" s="2"/>
      <c r="G44" s="7"/>
      <c r="H44" s="7"/>
    </row>
    <row r="45" spans="1:11" ht="13.8" x14ac:dyDescent="0.3">
      <c r="A45" s="16" t="s">
        <v>124</v>
      </c>
      <c r="B45" s="14">
        <f>B18*(COS(D17)^2)</f>
        <v>3.2928804338141966E-3</v>
      </c>
      <c r="D45" s="11" t="s">
        <v>139</v>
      </c>
      <c r="E45" s="14">
        <f>F5*B13/SQRT(1-B16*(SIN(E42))^2)</f>
        <v>6389233.9323777556</v>
      </c>
      <c r="F45" s="2"/>
      <c r="G45" s="7"/>
      <c r="H45" s="7"/>
    </row>
    <row r="46" spans="1:11" x14ac:dyDescent="0.25">
      <c r="A46" s="15" t="s">
        <v>125</v>
      </c>
      <c r="B46" s="14">
        <f>F5*B13/SQRT(1-B16*(SIN(D17)^2))</f>
        <v>6389233.1599926036</v>
      </c>
      <c r="D46" s="11" t="s">
        <v>140</v>
      </c>
      <c r="E46" s="14">
        <f>(J9-D5)/E45</f>
        <v>-8.3197128486134104E-3</v>
      </c>
      <c r="F46" s="2"/>
      <c r="G46" s="7"/>
      <c r="H46" s="7"/>
    </row>
    <row r="47" spans="1:11" x14ac:dyDescent="0.25">
      <c r="A47" s="15" t="s">
        <v>126</v>
      </c>
      <c r="B47" s="14">
        <f>-B46</f>
        <v>-6389233.1599926036</v>
      </c>
      <c r="D47" s="11" t="s">
        <v>141</v>
      </c>
      <c r="E47" s="14">
        <f>-E43*(1+E44)/2</f>
        <v>-0.51325997640690124</v>
      </c>
      <c r="F47" s="2"/>
      <c r="G47" s="7"/>
      <c r="H47" s="7"/>
    </row>
    <row r="48" spans="1:11" x14ac:dyDescent="0.25">
      <c r="A48" s="15" t="s">
        <v>127</v>
      </c>
      <c r="B48" s="14">
        <f>B46*B44/2</f>
        <v>3268340.0211384338</v>
      </c>
      <c r="D48" s="11" t="s">
        <v>142</v>
      </c>
      <c r="E48" s="14">
        <f>-(1+2*E43*E43+E44)/6</f>
        <v>-0.51616148845573895</v>
      </c>
      <c r="F48" s="2"/>
      <c r="G48" s="7"/>
      <c r="H48" s="7"/>
    </row>
    <row r="49" spans="1:8" x14ac:dyDescent="0.25">
      <c r="A49" s="15" t="s">
        <v>128</v>
      </c>
      <c r="B49" s="14">
        <f>(1-B44*B44+B45)/6</f>
        <v>-7.2324139502823936E-3</v>
      </c>
      <c r="D49" s="11" t="s">
        <v>143</v>
      </c>
      <c r="E49" s="14">
        <f>-(5+3*E43*E43+E44*(1-9*E43*E43)-4*E44*E44)/12</f>
        <v>-0.67606183175675261</v>
      </c>
      <c r="F49" s="2"/>
      <c r="G49" s="7"/>
      <c r="H49" s="7"/>
    </row>
    <row r="50" spans="1:8" x14ac:dyDescent="0.25">
      <c r="A50" s="15" t="s">
        <v>129</v>
      </c>
      <c r="B50" s="14">
        <f>(5-B44*B44+B45*(9+4*B45))/12</f>
        <v>0.33191599433458535</v>
      </c>
      <c r="D50" s="11" t="s">
        <v>144</v>
      </c>
      <c r="E50" s="14">
        <f>(5+28*E43*E43+24*(E43)^4+E44*(6+8*E43*E43))/120</f>
        <v>0.50549734428972981</v>
      </c>
    </row>
    <row r="51" spans="1:8" x14ac:dyDescent="0.25">
      <c r="A51" s="15" t="s">
        <v>130</v>
      </c>
      <c r="B51" s="14">
        <f>(5-18*B44*B44+(B44)^4+B45*(14-58*B44*B44))/120</f>
        <v>-0.10748851281618661</v>
      </c>
      <c r="D51" s="11" t="s">
        <v>145</v>
      </c>
      <c r="E51" s="14">
        <f>(61+90*E43*E43+45*(E43)^4+E44*(46-252*E43*E43-90*(E43)^4))/360</f>
        <v>0.56524359301716787</v>
      </c>
    </row>
    <row r="52" spans="1:8" x14ac:dyDescent="0.25">
      <c r="A52" s="15" t="s">
        <v>131</v>
      </c>
      <c r="B52" s="14">
        <f>(61-58*B44*B44+(B44)^4+B45*(270-330*B44*B44))/360</f>
        <v>3.1649490076558423E-3</v>
      </c>
      <c r="D52" s="11" t="s">
        <v>146</v>
      </c>
      <c r="E52" s="14">
        <f>-(61+662*E43*E43+1320*(E43)^4+720*(E43)^6)/5040</f>
        <v>-0.60050365166801589</v>
      </c>
    </row>
    <row r="53" spans="1:8" x14ac:dyDescent="0.25">
      <c r="A53" s="15" t="s">
        <v>132</v>
      </c>
      <c r="B53" s="14">
        <f>(61-479*B44*B44+179*(B44)^4-(B44)^6)/5040</f>
        <v>-4.8691608325994014E-2</v>
      </c>
      <c r="D53" s="11" t="s">
        <v>121</v>
      </c>
      <c r="E53" s="14">
        <f>-E46*(1+E46*E46*(E48+E46*E46*(E50+E52*E46*E46)))</f>
        <v>8.3194156264637283E-3</v>
      </c>
    </row>
    <row r="54" spans="1:8" x14ac:dyDescent="0.25">
      <c r="A54" s="14"/>
      <c r="B54" s="14"/>
      <c r="E54" s="14"/>
    </row>
    <row r="55" spans="1:8" x14ac:dyDescent="0.25">
      <c r="A55" s="17" t="s">
        <v>157</v>
      </c>
      <c r="B55" s="14"/>
      <c r="D55" s="17" t="s">
        <v>157</v>
      </c>
      <c r="E55" s="14"/>
    </row>
    <row r="56" spans="1:8" x14ac:dyDescent="0.25">
      <c r="A56" s="15" t="s">
        <v>123</v>
      </c>
      <c r="B56" s="14">
        <f>TAN(RADIANS(D8))</f>
        <v>1.0230773988978099</v>
      </c>
      <c r="D56" s="15" t="s">
        <v>123</v>
      </c>
      <c r="E56" s="14">
        <f>TAN(RADIANS(L8))</f>
        <v>1.0230783755820443</v>
      </c>
    </row>
    <row r="57" spans="1:8" ht="13.8" x14ac:dyDescent="0.3">
      <c r="A57" s="16" t="s">
        <v>124</v>
      </c>
      <c r="B57" s="14">
        <f>B18*(COS(RADIANS(D8))^2)</f>
        <v>3.2928804338141966E-3</v>
      </c>
      <c r="D57" s="16" t="s">
        <v>124</v>
      </c>
      <c r="E57" s="14">
        <f>B18*(COS(RADIANS(L8))^2)</f>
        <v>3.2928772185482555E-3</v>
      </c>
    </row>
    <row r="58" spans="1:8" x14ac:dyDescent="0.25">
      <c r="A58" s="15" t="s">
        <v>121</v>
      </c>
      <c r="B58" s="14">
        <f>-(RADIANS(D9-B5))*COS(RADIANS(D8))</f>
        <v>8.3199605973903745E-3</v>
      </c>
      <c r="D58" s="15" t="s">
        <v>121</v>
      </c>
      <c r="E58" s="14">
        <f>-(RADIANS(L9-B5))*COS(RADIANS(L8))</f>
        <v>8.3197180104612658E-3</v>
      </c>
    </row>
    <row r="59" spans="1:8" x14ac:dyDescent="0.25">
      <c r="A59" s="15" t="s">
        <v>147</v>
      </c>
      <c r="B59" s="14">
        <f>-B56</f>
        <v>-1.0230773988978099</v>
      </c>
      <c r="D59" s="15" t="s">
        <v>147</v>
      </c>
      <c r="E59" s="14">
        <f>-E56</f>
        <v>-1.0230783755820443</v>
      </c>
    </row>
    <row r="60" spans="1:8" x14ac:dyDescent="0.25">
      <c r="A60" s="15" t="s">
        <v>148</v>
      </c>
      <c r="B60" s="14">
        <f>(1+3*B57+2*B57*B57)/3</f>
        <v>0.3366334424748485</v>
      </c>
      <c r="D60" s="15" t="s">
        <v>148</v>
      </c>
      <c r="E60" s="14">
        <f>(1+3*E57+2*E57*E57)/3</f>
        <v>0.3366334392454659</v>
      </c>
    </row>
    <row r="61" spans="1:8" x14ac:dyDescent="0.25">
      <c r="A61" s="15" t="s">
        <v>149</v>
      </c>
      <c r="B61" s="14">
        <f>(2-B56*B56)/15</f>
        <v>6.355417572429943E-2</v>
      </c>
      <c r="D61" s="15" t="s">
        <v>149</v>
      </c>
      <c r="E61" s="14">
        <f>(2-E56*E56)/15</f>
        <v>6.3554042494427032E-2</v>
      </c>
    </row>
    <row r="62" spans="1:8" x14ac:dyDescent="0.25">
      <c r="B62" s="13"/>
      <c r="E62" s="13"/>
    </row>
    <row r="63" spans="1:8" x14ac:dyDescent="0.25">
      <c r="A63" s="1" t="s">
        <v>5</v>
      </c>
      <c r="B63" s="13"/>
      <c r="D63" s="1" t="s">
        <v>5</v>
      </c>
      <c r="E63" s="13"/>
    </row>
    <row r="64" spans="1:8" x14ac:dyDescent="0.25">
      <c r="A64" s="15" t="s">
        <v>150</v>
      </c>
      <c r="B64" s="15">
        <f>(1+B57)/2</f>
        <v>0.50164644021690707</v>
      </c>
      <c r="D64" s="15" t="s">
        <v>150</v>
      </c>
      <c r="E64" s="15">
        <f>(1+E57)/2</f>
        <v>0.50164643860927416</v>
      </c>
    </row>
    <row r="65" spans="1:5" x14ac:dyDescent="0.25">
      <c r="A65" s="15" t="s">
        <v>151</v>
      </c>
      <c r="B65" s="14">
        <f>(5-4*B56*B56+B57*(9-24*B56*B56))/12</f>
        <v>6.3347306263493053E-2</v>
      </c>
      <c r="D65" s="15" t="s">
        <v>151</v>
      </c>
      <c r="E65" s="14">
        <f>(5-4*E56*E56+E57*(9-24*E56*E56))/12</f>
        <v>6.3346631272149748E-2</v>
      </c>
    </row>
    <row r="66" spans="1:5" x14ac:dyDescent="0.25">
      <c r="B66" s="14"/>
      <c r="E66" s="14"/>
    </row>
    <row r="67" spans="1:5" x14ac:dyDescent="0.25">
      <c r="A67" s="1" t="s">
        <v>152</v>
      </c>
      <c r="B67" s="14"/>
      <c r="D67" s="1" t="s">
        <v>152</v>
      </c>
      <c r="E67" s="14"/>
    </row>
    <row r="68" spans="1:5" ht="13.8" x14ac:dyDescent="0.3">
      <c r="A68" s="19" t="s">
        <v>153</v>
      </c>
      <c r="B68" s="14">
        <f>B13/SQRT(1-B16*(SIN(D17))^2)</f>
        <v>6389083.028041794</v>
      </c>
      <c r="D68" s="19" t="s">
        <v>153</v>
      </c>
      <c r="E68" s="14">
        <f>B13/SQRT(1-B16*(SIN(RADIANS(L8))^2))</f>
        <v>6389083.0382793834</v>
      </c>
    </row>
    <row r="69" spans="1:5" ht="13.8" x14ac:dyDescent="0.3">
      <c r="A69" s="19" t="s">
        <v>154</v>
      </c>
      <c r="B69" s="14">
        <f>B13*(1-B16)/(1-B16*(SIN(D17))^2)^1.5</f>
        <v>6368113.5913963793</v>
      </c>
      <c r="D69" s="19" t="s">
        <v>154</v>
      </c>
      <c r="E69" s="14">
        <f>B13*(1-B16)/(1-B16*(SIN(RADIANS(L8)))^2)^1.5</f>
        <v>6368113.6220083451</v>
      </c>
    </row>
    <row r="70" spans="1:5" x14ac:dyDescent="0.25">
      <c r="A70" s="8" t="s">
        <v>155</v>
      </c>
      <c r="B70" s="14">
        <f>SQRT(B68*B69)</f>
        <v>6378589.6926697586</v>
      </c>
      <c r="D70" s="8" t="s">
        <v>155</v>
      </c>
      <c r="E70" s="14">
        <f>SQRT(E68*E69)</f>
        <v>6378589.7131113084</v>
      </c>
    </row>
    <row r="71" spans="1:5" x14ac:dyDescent="0.25">
      <c r="A71" s="8" t="s">
        <v>156</v>
      </c>
      <c r="B71" s="14">
        <f>F10*(B70/(B70+D10))-1</f>
        <v>3.35276241947291E-6</v>
      </c>
      <c r="D71" s="8" t="s">
        <v>156</v>
      </c>
      <c r="E71" s="14">
        <f>L10*(E70/(E70+J10))-1</f>
        <v>2.6866249059454006E-5</v>
      </c>
    </row>
    <row r="72" spans="1:5" x14ac:dyDescent="0.25">
      <c r="B72" s="14"/>
    </row>
    <row r="73" spans="1:5" x14ac:dyDescent="0.25">
      <c r="B73" s="14"/>
    </row>
    <row r="74" spans="1:5" x14ac:dyDescent="0.25">
      <c r="B74" s="14"/>
    </row>
    <row r="75" spans="1:5" x14ac:dyDescent="0.25">
      <c r="B75" s="14"/>
    </row>
    <row r="76" spans="1:5" x14ac:dyDescent="0.25">
      <c r="B76" s="14"/>
    </row>
    <row r="77" spans="1:5" x14ac:dyDescent="0.25">
      <c r="B77" s="14"/>
    </row>
    <row r="78" spans="1:5" x14ac:dyDescent="0.25">
      <c r="B78" s="14"/>
    </row>
    <row r="79" spans="1:5" x14ac:dyDescent="0.25">
      <c r="B79" s="14"/>
    </row>
    <row r="80" spans="1:5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  <row r="121" spans="2:2" x14ac:dyDescent="0.25">
      <c r="B121" s="13"/>
    </row>
    <row r="122" spans="2:2" x14ac:dyDescent="0.25">
      <c r="B122" s="13"/>
    </row>
    <row r="123" spans="2:2" x14ac:dyDescent="0.25">
      <c r="B123" s="13"/>
    </row>
    <row r="124" spans="2:2" x14ac:dyDescent="0.25">
      <c r="B124" s="13"/>
    </row>
    <row r="125" spans="2:2" x14ac:dyDescent="0.25">
      <c r="B125" s="13"/>
    </row>
    <row r="126" spans="2:2" x14ac:dyDescent="0.25">
      <c r="B126" s="13"/>
    </row>
    <row r="127" spans="2:2" x14ac:dyDescent="0.25">
      <c r="B127" s="13"/>
    </row>
    <row r="128" spans="2:2" x14ac:dyDescent="0.25">
      <c r="B128" s="13"/>
    </row>
    <row r="129" spans="2:2" x14ac:dyDescent="0.25">
      <c r="B129" s="13"/>
    </row>
    <row r="130" spans="2:2" x14ac:dyDescent="0.25">
      <c r="B130" s="13"/>
    </row>
    <row r="131" spans="2:2" x14ac:dyDescent="0.25">
      <c r="B131" s="13"/>
    </row>
    <row r="132" spans="2:2" x14ac:dyDescent="0.25">
      <c r="B132" s="13"/>
    </row>
    <row r="133" spans="2:2" x14ac:dyDescent="0.25">
      <c r="B133" s="13"/>
    </row>
    <row r="134" spans="2:2" x14ac:dyDescent="0.25">
      <c r="B134" s="13"/>
    </row>
    <row r="135" spans="2:2" x14ac:dyDescent="0.25">
      <c r="B135" s="13"/>
    </row>
    <row r="136" spans="2:2" x14ac:dyDescent="0.25">
      <c r="B136" s="13"/>
    </row>
    <row r="137" spans="2:2" x14ac:dyDescent="0.25">
      <c r="B137" s="13"/>
    </row>
    <row r="138" spans="2:2" x14ac:dyDescent="0.25">
      <c r="B138" s="13"/>
    </row>
    <row r="139" spans="2:2" x14ac:dyDescent="0.25">
      <c r="B139" s="13"/>
    </row>
    <row r="140" spans="2:2" x14ac:dyDescent="0.25">
      <c r="B140" s="13"/>
    </row>
    <row r="141" spans="2:2" x14ac:dyDescent="0.25">
      <c r="B141" s="13"/>
    </row>
    <row r="142" spans="2:2" x14ac:dyDescent="0.25">
      <c r="B142" s="13"/>
    </row>
    <row r="143" spans="2:2" x14ac:dyDescent="0.25">
      <c r="B143" s="13"/>
    </row>
    <row r="144" spans="2:2" x14ac:dyDescent="0.25">
      <c r="B144" s="13"/>
    </row>
    <row r="145" spans="2:2" x14ac:dyDescent="0.25">
      <c r="B145" s="13"/>
    </row>
    <row r="146" spans="2:2" x14ac:dyDescent="0.25">
      <c r="B146" s="13"/>
    </row>
    <row r="147" spans="2:2" x14ac:dyDescent="0.25">
      <c r="B147" s="13"/>
    </row>
    <row r="148" spans="2:2" x14ac:dyDescent="0.25">
      <c r="B148" s="13"/>
    </row>
    <row r="149" spans="2:2" x14ac:dyDescent="0.25">
      <c r="B149" s="13"/>
    </row>
    <row r="150" spans="2:2" x14ac:dyDescent="0.25">
      <c r="B150" s="13"/>
    </row>
    <row r="151" spans="2:2" x14ac:dyDescent="0.25">
      <c r="B151" s="13"/>
    </row>
    <row r="152" spans="2:2" x14ac:dyDescent="0.25">
      <c r="B152" s="13"/>
    </row>
    <row r="153" spans="2:2" x14ac:dyDescent="0.25">
      <c r="B153" s="13"/>
    </row>
    <row r="154" spans="2:2" x14ac:dyDescent="0.25">
      <c r="B154" s="13"/>
    </row>
    <row r="155" spans="2:2" x14ac:dyDescent="0.25">
      <c r="B155" s="13"/>
    </row>
    <row r="156" spans="2:2" x14ac:dyDescent="0.25">
      <c r="B156" s="13"/>
    </row>
    <row r="157" spans="2:2" x14ac:dyDescent="0.25">
      <c r="B157" s="13"/>
    </row>
    <row r="158" spans="2:2" x14ac:dyDescent="0.25">
      <c r="B158" s="13"/>
    </row>
    <row r="159" spans="2:2" x14ac:dyDescent="0.25">
      <c r="B159" s="13"/>
    </row>
    <row r="160" spans="2:2" x14ac:dyDescent="0.25">
      <c r="B160" s="13"/>
    </row>
    <row r="161" spans="2:2" x14ac:dyDescent="0.25">
      <c r="B161" s="13"/>
    </row>
    <row r="162" spans="2:2" x14ac:dyDescent="0.25">
      <c r="B162" s="13"/>
    </row>
    <row r="163" spans="2:2" x14ac:dyDescent="0.25">
      <c r="B163" s="13"/>
    </row>
    <row r="164" spans="2:2" x14ac:dyDescent="0.25">
      <c r="B164" s="13"/>
    </row>
    <row r="165" spans="2:2" x14ac:dyDescent="0.25">
      <c r="B165" s="13"/>
    </row>
    <row r="166" spans="2:2" x14ac:dyDescent="0.25">
      <c r="B166" s="13"/>
    </row>
    <row r="167" spans="2:2" x14ac:dyDescent="0.25">
      <c r="B167" s="13"/>
    </row>
    <row r="168" spans="2:2" x14ac:dyDescent="0.25">
      <c r="B168" s="13"/>
    </row>
    <row r="169" spans="2:2" x14ac:dyDescent="0.25">
      <c r="B169" s="13"/>
    </row>
    <row r="170" spans="2:2" x14ac:dyDescent="0.25">
      <c r="B170" s="13"/>
    </row>
    <row r="171" spans="2:2" x14ac:dyDescent="0.25">
      <c r="B171" s="13"/>
    </row>
    <row r="172" spans="2:2" x14ac:dyDescent="0.25">
      <c r="B172" s="13"/>
    </row>
    <row r="173" spans="2:2" x14ac:dyDescent="0.25">
      <c r="B173" s="13"/>
    </row>
    <row r="174" spans="2:2" x14ac:dyDescent="0.25">
      <c r="B174" s="13"/>
    </row>
    <row r="175" spans="2:2" x14ac:dyDescent="0.25">
      <c r="B175" s="13"/>
    </row>
    <row r="176" spans="2:2" x14ac:dyDescent="0.25">
      <c r="B176" s="13"/>
    </row>
    <row r="177" spans="2:2" x14ac:dyDescent="0.25">
      <c r="B177" s="13"/>
    </row>
    <row r="178" spans="2:2" x14ac:dyDescent="0.25">
      <c r="B178" s="13"/>
    </row>
    <row r="179" spans="2:2" x14ac:dyDescent="0.25">
      <c r="B179" s="13"/>
    </row>
    <row r="180" spans="2:2" x14ac:dyDescent="0.25">
      <c r="B180" s="13"/>
    </row>
    <row r="181" spans="2:2" x14ac:dyDescent="0.25">
      <c r="B181" s="13"/>
    </row>
    <row r="182" spans="2:2" x14ac:dyDescent="0.25">
      <c r="B182" s="13"/>
    </row>
    <row r="183" spans="2:2" x14ac:dyDescent="0.25">
      <c r="B183" s="13"/>
    </row>
    <row r="184" spans="2:2" x14ac:dyDescent="0.25">
      <c r="B184" s="13"/>
    </row>
    <row r="185" spans="2:2" x14ac:dyDescent="0.25">
      <c r="B185" s="13"/>
    </row>
    <row r="186" spans="2:2" x14ac:dyDescent="0.25">
      <c r="B186" s="13"/>
    </row>
    <row r="187" spans="2:2" x14ac:dyDescent="0.25">
      <c r="B187" s="13"/>
    </row>
    <row r="188" spans="2:2" x14ac:dyDescent="0.25">
      <c r="B188" s="13"/>
    </row>
    <row r="189" spans="2:2" x14ac:dyDescent="0.25">
      <c r="B189" s="13"/>
    </row>
    <row r="190" spans="2:2" x14ac:dyDescent="0.25">
      <c r="B190" s="13"/>
    </row>
    <row r="191" spans="2:2" x14ac:dyDescent="0.25">
      <c r="B191" s="13"/>
    </row>
    <row r="192" spans="2:2" x14ac:dyDescent="0.25">
      <c r="B192" s="13"/>
    </row>
    <row r="193" spans="2:2" x14ac:dyDescent="0.25">
      <c r="B193" s="13"/>
    </row>
    <row r="194" spans="2:2" x14ac:dyDescent="0.25">
      <c r="B194" s="13"/>
    </row>
    <row r="195" spans="2:2" x14ac:dyDescent="0.25">
      <c r="B195" s="13"/>
    </row>
    <row r="196" spans="2:2" x14ac:dyDescent="0.25">
      <c r="B196" s="13"/>
    </row>
    <row r="197" spans="2:2" x14ac:dyDescent="0.25">
      <c r="B197" s="13"/>
    </row>
    <row r="198" spans="2:2" x14ac:dyDescent="0.25">
      <c r="B198" s="13"/>
    </row>
    <row r="199" spans="2:2" x14ac:dyDescent="0.25">
      <c r="B199" s="13"/>
    </row>
    <row r="200" spans="2:2" x14ac:dyDescent="0.25">
      <c r="B200" s="13"/>
    </row>
    <row r="201" spans="2:2" x14ac:dyDescent="0.25">
      <c r="B201" s="13"/>
    </row>
    <row r="202" spans="2:2" x14ac:dyDescent="0.25">
      <c r="B202" s="13"/>
    </row>
    <row r="203" spans="2:2" x14ac:dyDescent="0.25">
      <c r="B203" s="13"/>
    </row>
    <row r="204" spans="2:2" x14ac:dyDescent="0.25">
      <c r="B204" s="13"/>
    </row>
    <row r="205" spans="2:2" x14ac:dyDescent="0.25">
      <c r="B205" s="13"/>
    </row>
    <row r="206" spans="2:2" x14ac:dyDescent="0.25">
      <c r="B206" s="13"/>
    </row>
    <row r="207" spans="2:2" x14ac:dyDescent="0.25">
      <c r="B207" s="13"/>
    </row>
    <row r="208" spans="2:2" x14ac:dyDescent="0.25">
      <c r="B208" s="13"/>
    </row>
    <row r="209" spans="2:2" x14ac:dyDescent="0.25">
      <c r="B209" s="13"/>
    </row>
    <row r="210" spans="2:2" x14ac:dyDescent="0.25">
      <c r="B210" s="13"/>
    </row>
    <row r="211" spans="2:2" x14ac:dyDescent="0.25">
      <c r="B211" s="13"/>
    </row>
    <row r="212" spans="2:2" x14ac:dyDescent="0.25">
      <c r="B212" s="13"/>
    </row>
    <row r="213" spans="2:2" x14ac:dyDescent="0.25">
      <c r="B213" s="13"/>
    </row>
    <row r="214" spans="2:2" x14ac:dyDescent="0.25">
      <c r="B214" s="13"/>
    </row>
    <row r="215" spans="2:2" x14ac:dyDescent="0.25">
      <c r="B215" s="13"/>
    </row>
    <row r="216" spans="2:2" x14ac:dyDescent="0.25">
      <c r="B216" s="13"/>
    </row>
    <row r="217" spans="2:2" x14ac:dyDescent="0.25">
      <c r="B217" s="13"/>
    </row>
    <row r="218" spans="2:2" x14ac:dyDescent="0.25">
      <c r="B218" s="13"/>
    </row>
    <row r="219" spans="2:2" x14ac:dyDescent="0.25">
      <c r="B219" s="13"/>
    </row>
    <row r="220" spans="2:2" x14ac:dyDescent="0.25">
      <c r="B220" s="13"/>
    </row>
    <row r="221" spans="2:2" x14ac:dyDescent="0.25">
      <c r="B221" s="13"/>
    </row>
    <row r="222" spans="2:2" x14ac:dyDescent="0.25">
      <c r="B222" s="13"/>
    </row>
    <row r="223" spans="2:2" x14ac:dyDescent="0.25">
      <c r="B223" s="13"/>
    </row>
    <row r="224" spans="2:2" x14ac:dyDescent="0.25">
      <c r="B224" s="13"/>
    </row>
    <row r="225" spans="2:2" x14ac:dyDescent="0.25">
      <c r="B225" s="13"/>
    </row>
    <row r="226" spans="2:2" x14ac:dyDescent="0.25">
      <c r="B226" s="13"/>
    </row>
    <row r="227" spans="2:2" x14ac:dyDescent="0.25">
      <c r="B227" s="13"/>
    </row>
    <row r="228" spans="2:2" x14ac:dyDescent="0.25">
      <c r="B228" s="13"/>
    </row>
    <row r="229" spans="2:2" x14ac:dyDescent="0.25">
      <c r="B229" s="13"/>
    </row>
    <row r="230" spans="2:2" x14ac:dyDescent="0.25">
      <c r="B230" s="13"/>
    </row>
    <row r="231" spans="2:2" x14ac:dyDescent="0.25">
      <c r="B231" s="13"/>
    </row>
    <row r="232" spans="2:2" x14ac:dyDescent="0.25">
      <c r="B232" s="13"/>
    </row>
    <row r="233" spans="2:2" x14ac:dyDescent="0.25">
      <c r="B233" s="13"/>
    </row>
    <row r="234" spans="2:2" x14ac:dyDescent="0.25">
      <c r="B234" s="13"/>
    </row>
    <row r="235" spans="2:2" x14ac:dyDescent="0.25">
      <c r="B235" s="13"/>
    </row>
    <row r="236" spans="2:2" x14ac:dyDescent="0.25">
      <c r="B236" s="13"/>
    </row>
    <row r="237" spans="2:2" x14ac:dyDescent="0.25">
      <c r="B237" s="13"/>
    </row>
    <row r="238" spans="2:2" x14ac:dyDescent="0.25">
      <c r="B238" s="13"/>
    </row>
    <row r="239" spans="2:2" x14ac:dyDescent="0.25">
      <c r="B239" s="13"/>
    </row>
    <row r="240" spans="2:2" x14ac:dyDescent="0.25">
      <c r="B240" s="13"/>
    </row>
    <row r="241" spans="2:2" x14ac:dyDescent="0.25">
      <c r="B241" s="13"/>
    </row>
    <row r="242" spans="2:2" x14ac:dyDescent="0.25">
      <c r="B242" s="13"/>
    </row>
    <row r="243" spans="2:2" x14ac:dyDescent="0.25">
      <c r="B243" s="13"/>
    </row>
    <row r="244" spans="2:2" x14ac:dyDescent="0.25">
      <c r="B244" s="13"/>
    </row>
    <row r="245" spans="2:2" x14ac:dyDescent="0.25">
      <c r="B245" s="13"/>
    </row>
    <row r="246" spans="2:2" x14ac:dyDescent="0.25">
      <c r="B246" s="13"/>
    </row>
    <row r="247" spans="2:2" x14ac:dyDescent="0.25">
      <c r="B247" s="13"/>
    </row>
    <row r="248" spans="2:2" x14ac:dyDescent="0.25">
      <c r="B248" s="13"/>
    </row>
    <row r="249" spans="2:2" x14ac:dyDescent="0.25">
      <c r="B249" s="13"/>
    </row>
    <row r="250" spans="2:2" x14ac:dyDescent="0.25">
      <c r="B250" s="13"/>
    </row>
    <row r="251" spans="2:2" x14ac:dyDescent="0.25">
      <c r="B251" s="13"/>
    </row>
    <row r="252" spans="2:2" x14ac:dyDescent="0.25">
      <c r="B252" s="13"/>
    </row>
    <row r="253" spans="2:2" x14ac:dyDescent="0.25">
      <c r="B253" s="13"/>
    </row>
    <row r="254" spans="2:2" x14ac:dyDescent="0.25">
      <c r="B254" s="13"/>
    </row>
    <row r="255" spans="2:2" x14ac:dyDescent="0.25">
      <c r="B255" s="13"/>
    </row>
    <row r="256" spans="2:2" x14ac:dyDescent="0.25">
      <c r="B256" s="13"/>
    </row>
    <row r="257" spans="2:2" x14ac:dyDescent="0.25">
      <c r="B257" s="13"/>
    </row>
    <row r="258" spans="2:2" x14ac:dyDescent="0.25">
      <c r="B258" s="13"/>
    </row>
    <row r="259" spans="2:2" x14ac:dyDescent="0.25">
      <c r="B259" s="13"/>
    </row>
    <row r="260" spans="2:2" x14ac:dyDescent="0.25">
      <c r="B260" s="13"/>
    </row>
    <row r="261" spans="2:2" x14ac:dyDescent="0.25">
      <c r="B261" s="13"/>
    </row>
    <row r="262" spans="2:2" x14ac:dyDescent="0.25">
      <c r="B262" s="13"/>
    </row>
    <row r="263" spans="2:2" x14ac:dyDescent="0.25">
      <c r="B263" s="13"/>
    </row>
    <row r="264" spans="2:2" x14ac:dyDescent="0.25">
      <c r="B264" s="13"/>
    </row>
    <row r="265" spans="2:2" x14ac:dyDescent="0.25">
      <c r="B265" s="13"/>
    </row>
    <row r="266" spans="2:2" x14ac:dyDescent="0.25">
      <c r="B266" s="13"/>
    </row>
    <row r="267" spans="2:2" x14ac:dyDescent="0.25">
      <c r="B267" s="13"/>
    </row>
    <row r="268" spans="2:2" x14ac:dyDescent="0.25">
      <c r="B268" s="13"/>
    </row>
    <row r="269" spans="2:2" x14ac:dyDescent="0.25">
      <c r="B269" s="13"/>
    </row>
    <row r="270" spans="2:2" x14ac:dyDescent="0.25">
      <c r="B270" s="13"/>
    </row>
    <row r="271" spans="2:2" x14ac:dyDescent="0.25">
      <c r="B271" s="13"/>
    </row>
    <row r="272" spans="2:2" x14ac:dyDescent="0.25">
      <c r="B272" s="13"/>
    </row>
    <row r="273" spans="2:2" x14ac:dyDescent="0.25">
      <c r="B273" s="13"/>
    </row>
    <row r="274" spans="2:2" x14ac:dyDescent="0.25">
      <c r="B274" s="13"/>
    </row>
    <row r="275" spans="2:2" x14ac:dyDescent="0.25">
      <c r="B275" s="13"/>
    </row>
    <row r="276" spans="2:2" x14ac:dyDescent="0.25">
      <c r="B276" s="13"/>
    </row>
    <row r="277" spans="2:2" x14ac:dyDescent="0.25">
      <c r="B277" s="13"/>
    </row>
    <row r="278" spans="2:2" x14ac:dyDescent="0.25">
      <c r="B278" s="13"/>
    </row>
    <row r="279" spans="2:2" x14ac:dyDescent="0.25">
      <c r="B279" s="13"/>
    </row>
    <row r="280" spans="2:2" x14ac:dyDescent="0.25">
      <c r="B280" s="13"/>
    </row>
    <row r="281" spans="2:2" x14ac:dyDescent="0.25">
      <c r="B281" s="13"/>
    </row>
    <row r="282" spans="2:2" x14ac:dyDescent="0.25">
      <c r="B282" s="13"/>
    </row>
    <row r="283" spans="2:2" x14ac:dyDescent="0.25">
      <c r="B283" s="13"/>
    </row>
    <row r="284" spans="2:2" x14ac:dyDescent="0.25">
      <c r="B284" s="13"/>
    </row>
    <row r="285" spans="2:2" x14ac:dyDescent="0.25">
      <c r="B285" s="13"/>
    </row>
    <row r="286" spans="2:2" x14ac:dyDescent="0.25">
      <c r="B286" s="13"/>
    </row>
    <row r="287" spans="2:2" x14ac:dyDescent="0.25">
      <c r="B287" s="13"/>
    </row>
    <row r="288" spans="2:2" x14ac:dyDescent="0.25">
      <c r="B288" s="13"/>
    </row>
    <row r="289" spans="2:2" x14ac:dyDescent="0.25">
      <c r="B289" s="13"/>
    </row>
    <row r="290" spans="2:2" x14ac:dyDescent="0.25">
      <c r="B290" s="13"/>
    </row>
    <row r="291" spans="2:2" x14ac:dyDescent="0.25">
      <c r="B291" s="13"/>
    </row>
    <row r="292" spans="2:2" x14ac:dyDescent="0.25">
      <c r="B292" s="13"/>
    </row>
    <row r="293" spans="2:2" x14ac:dyDescent="0.25">
      <c r="B293" s="13"/>
    </row>
    <row r="294" spans="2:2" x14ac:dyDescent="0.25">
      <c r="B294" s="13"/>
    </row>
    <row r="295" spans="2:2" x14ac:dyDescent="0.25">
      <c r="B295" s="13"/>
    </row>
    <row r="296" spans="2:2" x14ac:dyDescent="0.25">
      <c r="B296" s="13"/>
    </row>
    <row r="297" spans="2:2" x14ac:dyDescent="0.25">
      <c r="B297" s="13"/>
    </row>
    <row r="298" spans="2:2" x14ac:dyDescent="0.25">
      <c r="B298" s="13"/>
    </row>
    <row r="299" spans="2:2" x14ac:dyDescent="0.25">
      <c r="B299" s="13"/>
    </row>
    <row r="300" spans="2:2" x14ac:dyDescent="0.25">
      <c r="B300" s="13"/>
    </row>
    <row r="301" spans="2:2" x14ac:dyDescent="0.25">
      <c r="B301" s="13"/>
    </row>
    <row r="302" spans="2:2" x14ac:dyDescent="0.25">
      <c r="B302" s="13"/>
    </row>
    <row r="303" spans="2:2" x14ac:dyDescent="0.25">
      <c r="B303" s="13"/>
    </row>
    <row r="304" spans="2:2" x14ac:dyDescent="0.25">
      <c r="B304" s="13"/>
    </row>
    <row r="305" spans="2:2" x14ac:dyDescent="0.25">
      <c r="B305" s="13"/>
    </row>
    <row r="306" spans="2:2" x14ac:dyDescent="0.25">
      <c r="B306" s="13"/>
    </row>
    <row r="307" spans="2:2" x14ac:dyDescent="0.25">
      <c r="B307" s="13"/>
    </row>
    <row r="308" spans="2:2" x14ac:dyDescent="0.25">
      <c r="B308" s="13"/>
    </row>
    <row r="309" spans="2:2" x14ac:dyDescent="0.25">
      <c r="B309" s="13"/>
    </row>
    <row r="310" spans="2:2" x14ac:dyDescent="0.25">
      <c r="B310" s="13"/>
    </row>
    <row r="311" spans="2:2" x14ac:dyDescent="0.25">
      <c r="B311" s="13"/>
    </row>
    <row r="312" spans="2:2" x14ac:dyDescent="0.25">
      <c r="B312" s="13"/>
    </row>
    <row r="313" spans="2:2" x14ac:dyDescent="0.25">
      <c r="B313" s="13"/>
    </row>
    <row r="314" spans="2:2" x14ac:dyDescent="0.25">
      <c r="B314" s="13"/>
    </row>
    <row r="315" spans="2:2" x14ac:dyDescent="0.25">
      <c r="B315" s="13"/>
    </row>
    <row r="316" spans="2:2" x14ac:dyDescent="0.25">
      <c r="B316" s="13"/>
    </row>
    <row r="317" spans="2:2" x14ac:dyDescent="0.25">
      <c r="B317" s="13"/>
    </row>
    <row r="318" spans="2:2" x14ac:dyDescent="0.25">
      <c r="B318" s="13"/>
    </row>
    <row r="319" spans="2:2" x14ac:dyDescent="0.25">
      <c r="B319" s="13"/>
    </row>
    <row r="320" spans="2:2" x14ac:dyDescent="0.25">
      <c r="B320" s="13"/>
    </row>
    <row r="321" spans="2:2" x14ac:dyDescent="0.25">
      <c r="B321" s="13"/>
    </row>
    <row r="322" spans="2:2" x14ac:dyDescent="0.25">
      <c r="B322" s="13"/>
    </row>
    <row r="323" spans="2:2" x14ac:dyDescent="0.25">
      <c r="B323" s="13"/>
    </row>
    <row r="324" spans="2:2" x14ac:dyDescent="0.25">
      <c r="B324" s="13"/>
    </row>
    <row r="325" spans="2:2" x14ac:dyDescent="0.25">
      <c r="B325" s="13"/>
    </row>
    <row r="326" spans="2:2" x14ac:dyDescent="0.25">
      <c r="B326" s="13"/>
    </row>
    <row r="327" spans="2:2" x14ac:dyDescent="0.25">
      <c r="B327" s="13"/>
    </row>
    <row r="328" spans="2:2" x14ac:dyDescent="0.25">
      <c r="B328" s="13"/>
    </row>
    <row r="329" spans="2:2" x14ac:dyDescent="0.25">
      <c r="B329" s="13"/>
    </row>
    <row r="330" spans="2:2" x14ac:dyDescent="0.25">
      <c r="B330" s="13"/>
    </row>
    <row r="331" spans="2:2" x14ac:dyDescent="0.25">
      <c r="B331" s="13"/>
    </row>
    <row r="332" spans="2:2" x14ac:dyDescent="0.25">
      <c r="B332" s="13"/>
    </row>
    <row r="333" spans="2:2" x14ac:dyDescent="0.25">
      <c r="B333" s="13"/>
    </row>
    <row r="334" spans="2:2" x14ac:dyDescent="0.25">
      <c r="B334" s="13"/>
    </row>
    <row r="335" spans="2:2" x14ac:dyDescent="0.25">
      <c r="B335" s="13"/>
    </row>
    <row r="336" spans="2:2" x14ac:dyDescent="0.25">
      <c r="B336" s="13"/>
    </row>
    <row r="337" spans="2:2" x14ac:dyDescent="0.25">
      <c r="B337" s="13"/>
    </row>
    <row r="338" spans="2:2" x14ac:dyDescent="0.25">
      <c r="B338" s="13"/>
    </row>
    <row r="339" spans="2:2" x14ac:dyDescent="0.25">
      <c r="B339" s="13"/>
    </row>
    <row r="340" spans="2:2" x14ac:dyDescent="0.25">
      <c r="B340" s="13"/>
    </row>
    <row r="341" spans="2:2" x14ac:dyDescent="0.25">
      <c r="B341" s="13"/>
    </row>
    <row r="342" spans="2:2" x14ac:dyDescent="0.25">
      <c r="B342" s="13"/>
    </row>
    <row r="343" spans="2:2" x14ac:dyDescent="0.25">
      <c r="B343" s="13"/>
    </row>
    <row r="344" spans="2:2" x14ac:dyDescent="0.25">
      <c r="B344" s="13"/>
    </row>
    <row r="345" spans="2:2" x14ac:dyDescent="0.25">
      <c r="B345" s="13"/>
    </row>
    <row r="346" spans="2:2" x14ac:dyDescent="0.25">
      <c r="B346" s="13"/>
    </row>
    <row r="347" spans="2:2" x14ac:dyDescent="0.25">
      <c r="B347" s="13"/>
    </row>
    <row r="348" spans="2:2" x14ac:dyDescent="0.25">
      <c r="B348" s="13"/>
    </row>
    <row r="349" spans="2:2" x14ac:dyDescent="0.25">
      <c r="B349" s="13"/>
    </row>
    <row r="350" spans="2:2" x14ac:dyDescent="0.25">
      <c r="B350" s="13"/>
    </row>
    <row r="351" spans="2:2" x14ac:dyDescent="0.25">
      <c r="B351" s="13"/>
    </row>
    <row r="352" spans="2:2" x14ac:dyDescent="0.25">
      <c r="B352" s="13"/>
    </row>
    <row r="353" spans="2:2" x14ac:dyDescent="0.25">
      <c r="B353" s="13"/>
    </row>
    <row r="354" spans="2:2" x14ac:dyDescent="0.25">
      <c r="B354" s="13"/>
    </row>
    <row r="355" spans="2:2" x14ac:dyDescent="0.25">
      <c r="B355" s="13"/>
    </row>
    <row r="356" spans="2:2" x14ac:dyDescent="0.25">
      <c r="B356" s="13"/>
    </row>
    <row r="357" spans="2:2" x14ac:dyDescent="0.25">
      <c r="B357" s="13"/>
    </row>
    <row r="358" spans="2:2" x14ac:dyDescent="0.25">
      <c r="B358" s="13"/>
    </row>
    <row r="359" spans="2:2" x14ac:dyDescent="0.25">
      <c r="B359" s="13"/>
    </row>
    <row r="360" spans="2:2" x14ac:dyDescent="0.25">
      <c r="B360" s="13"/>
    </row>
    <row r="361" spans="2:2" x14ac:dyDescent="0.25">
      <c r="B361" s="13"/>
    </row>
    <row r="362" spans="2:2" x14ac:dyDescent="0.25">
      <c r="B362" s="13"/>
    </row>
    <row r="363" spans="2:2" x14ac:dyDescent="0.25">
      <c r="B363" s="13"/>
    </row>
    <row r="364" spans="2:2" x14ac:dyDescent="0.25">
      <c r="B364" s="13"/>
    </row>
    <row r="365" spans="2:2" x14ac:dyDescent="0.25">
      <c r="B365" s="13"/>
    </row>
    <row r="366" spans="2:2" x14ac:dyDescent="0.25">
      <c r="B366" s="13"/>
    </row>
    <row r="367" spans="2:2" x14ac:dyDescent="0.25">
      <c r="B367" s="13"/>
    </row>
    <row r="368" spans="2:2" x14ac:dyDescent="0.25">
      <c r="B368" s="13"/>
    </row>
    <row r="369" spans="2:2" x14ac:dyDescent="0.25">
      <c r="B369" s="13"/>
    </row>
    <row r="370" spans="2:2" x14ac:dyDescent="0.25">
      <c r="B370" s="13"/>
    </row>
    <row r="371" spans="2:2" x14ac:dyDescent="0.25">
      <c r="B371" s="13"/>
    </row>
    <row r="372" spans="2:2" x14ac:dyDescent="0.25">
      <c r="B372" s="13"/>
    </row>
    <row r="373" spans="2:2" x14ac:dyDescent="0.25">
      <c r="B373" s="13"/>
    </row>
    <row r="374" spans="2:2" x14ac:dyDescent="0.25">
      <c r="B374" s="13"/>
    </row>
    <row r="375" spans="2:2" x14ac:dyDescent="0.25">
      <c r="B375" s="13"/>
    </row>
    <row r="376" spans="2:2" x14ac:dyDescent="0.25">
      <c r="B376" s="13"/>
    </row>
    <row r="377" spans="2:2" x14ac:dyDescent="0.25">
      <c r="B377" s="13"/>
    </row>
    <row r="378" spans="2:2" x14ac:dyDescent="0.25">
      <c r="B378" s="13"/>
    </row>
    <row r="379" spans="2:2" x14ac:dyDescent="0.25">
      <c r="B379" s="13"/>
    </row>
    <row r="380" spans="2:2" x14ac:dyDescent="0.25">
      <c r="B380" s="13"/>
    </row>
    <row r="381" spans="2:2" x14ac:dyDescent="0.25">
      <c r="B381" s="13"/>
    </row>
    <row r="382" spans="2:2" x14ac:dyDescent="0.25">
      <c r="B382" s="13"/>
    </row>
    <row r="383" spans="2:2" x14ac:dyDescent="0.25">
      <c r="B383" s="13"/>
    </row>
    <row r="384" spans="2:2" x14ac:dyDescent="0.25">
      <c r="B384" s="13"/>
    </row>
    <row r="385" spans="2:2" x14ac:dyDescent="0.25">
      <c r="B385" s="13"/>
    </row>
    <row r="386" spans="2:2" x14ac:dyDescent="0.25">
      <c r="B386" s="13"/>
    </row>
    <row r="387" spans="2:2" x14ac:dyDescent="0.25">
      <c r="B387" s="13"/>
    </row>
    <row r="388" spans="2:2" x14ac:dyDescent="0.25">
      <c r="B388" s="13"/>
    </row>
    <row r="389" spans="2:2" x14ac:dyDescent="0.25">
      <c r="B389" s="13"/>
    </row>
    <row r="390" spans="2:2" x14ac:dyDescent="0.25">
      <c r="B390" s="13"/>
    </row>
    <row r="391" spans="2:2" x14ac:dyDescent="0.25">
      <c r="B391" s="13"/>
    </row>
    <row r="392" spans="2:2" x14ac:dyDescent="0.25">
      <c r="B392" s="13"/>
    </row>
    <row r="393" spans="2:2" x14ac:dyDescent="0.25">
      <c r="B393" s="13"/>
    </row>
    <row r="394" spans="2:2" x14ac:dyDescent="0.25">
      <c r="B394" s="13"/>
    </row>
    <row r="395" spans="2:2" x14ac:dyDescent="0.25">
      <c r="B395" s="13"/>
    </row>
    <row r="396" spans="2:2" x14ac:dyDescent="0.25">
      <c r="B396" s="13"/>
    </row>
    <row r="397" spans="2:2" x14ac:dyDescent="0.25">
      <c r="B397" s="13"/>
    </row>
    <row r="398" spans="2:2" x14ac:dyDescent="0.25">
      <c r="B398" s="13"/>
    </row>
    <row r="399" spans="2:2" x14ac:dyDescent="0.25">
      <c r="B399" s="13"/>
    </row>
    <row r="400" spans="2:2" x14ac:dyDescent="0.25">
      <c r="B400" s="13"/>
    </row>
    <row r="401" spans="2:2" x14ac:dyDescent="0.25">
      <c r="B401" s="13"/>
    </row>
    <row r="402" spans="2:2" x14ac:dyDescent="0.25">
      <c r="B402" s="13"/>
    </row>
    <row r="403" spans="2:2" x14ac:dyDescent="0.25">
      <c r="B403" s="13"/>
    </row>
    <row r="404" spans="2:2" x14ac:dyDescent="0.25">
      <c r="B404" s="13"/>
    </row>
    <row r="405" spans="2:2" x14ac:dyDescent="0.25">
      <c r="B405" s="13"/>
    </row>
    <row r="406" spans="2:2" x14ac:dyDescent="0.25">
      <c r="B406" s="13"/>
    </row>
    <row r="407" spans="2:2" x14ac:dyDescent="0.25">
      <c r="B407" s="13"/>
    </row>
    <row r="408" spans="2:2" x14ac:dyDescent="0.25">
      <c r="B408" s="13"/>
    </row>
    <row r="409" spans="2:2" x14ac:dyDescent="0.25">
      <c r="B409" s="13"/>
    </row>
    <row r="410" spans="2:2" x14ac:dyDescent="0.25">
      <c r="B410" s="13"/>
    </row>
    <row r="411" spans="2:2" x14ac:dyDescent="0.25">
      <c r="B411" s="13"/>
    </row>
    <row r="412" spans="2:2" x14ac:dyDescent="0.25">
      <c r="B412" s="13"/>
    </row>
    <row r="413" spans="2:2" x14ac:dyDescent="0.25">
      <c r="B413" s="13"/>
    </row>
    <row r="414" spans="2:2" x14ac:dyDescent="0.25">
      <c r="B414" s="13"/>
    </row>
    <row r="415" spans="2:2" x14ac:dyDescent="0.25">
      <c r="B415" s="13"/>
    </row>
    <row r="416" spans="2:2" x14ac:dyDescent="0.25">
      <c r="B416" s="13"/>
    </row>
    <row r="417" spans="2:2" x14ac:dyDescent="0.25">
      <c r="B417" s="13"/>
    </row>
    <row r="418" spans="2:2" x14ac:dyDescent="0.25">
      <c r="B418" s="13"/>
    </row>
    <row r="419" spans="2:2" x14ac:dyDescent="0.25">
      <c r="B419" s="13"/>
    </row>
    <row r="420" spans="2:2" x14ac:dyDescent="0.25">
      <c r="B420" s="13"/>
    </row>
    <row r="421" spans="2:2" x14ac:dyDescent="0.25">
      <c r="B421" s="13"/>
    </row>
    <row r="422" spans="2:2" x14ac:dyDescent="0.25">
      <c r="B422" s="13"/>
    </row>
    <row r="423" spans="2:2" x14ac:dyDescent="0.25">
      <c r="B423" s="13"/>
    </row>
    <row r="424" spans="2:2" x14ac:dyDescent="0.25">
      <c r="B424" s="13"/>
    </row>
    <row r="425" spans="2:2" x14ac:dyDescent="0.25">
      <c r="B425" s="13"/>
    </row>
    <row r="426" spans="2:2" x14ac:dyDescent="0.25">
      <c r="B426" s="13"/>
    </row>
    <row r="427" spans="2:2" x14ac:dyDescent="0.25">
      <c r="B427" s="13"/>
    </row>
    <row r="428" spans="2:2" x14ac:dyDescent="0.25">
      <c r="B428" s="13"/>
    </row>
    <row r="429" spans="2:2" x14ac:dyDescent="0.25">
      <c r="B429" s="13"/>
    </row>
    <row r="430" spans="2:2" x14ac:dyDescent="0.25">
      <c r="B430" s="13"/>
    </row>
    <row r="431" spans="2:2" x14ac:dyDescent="0.25">
      <c r="B431" s="13"/>
    </row>
    <row r="432" spans="2:2" x14ac:dyDescent="0.25">
      <c r="B432" s="13"/>
    </row>
    <row r="433" spans="2:2" x14ac:dyDescent="0.25">
      <c r="B433" s="13"/>
    </row>
    <row r="434" spans="2:2" x14ac:dyDescent="0.25">
      <c r="B434" s="13"/>
    </row>
    <row r="435" spans="2:2" x14ac:dyDescent="0.25">
      <c r="B435" s="13"/>
    </row>
    <row r="436" spans="2:2" x14ac:dyDescent="0.25">
      <c r="B436" s="13"/>
    </row>
    <row r="437" spans="2:2" x14ac:dyDescent="0.25">
      <c r="B437" s="13"/>
    </row>
    <row r="438" spans="2:2" x14ac:dyDescent="0.25">
      <c r="B438" s="13"/>
    </row>
    <row r="439" spans="2:2" x14ac:dyDescent="0.25">
      <c r="B439" s="13"/>
    </row>
    <row r="440" spans="2:2" x14ac:dyDescent="0.25">
      <c r="B440" s="13"/>
    </row>
    <row r="441" spans="2:2" x14ac:dyDescent="0.25">
      <c r="B441" s="13"/>
    </row>
    <row r="442" spans="2:2" x14ac:dyDescent="0.25">
      <c r="B442" s="13"/>
    </row>
    <row r="443" spans="2:2" x14ac:dyDescent="0.25">
      <c r="B443" s="13"/>
    </row>
    <row r="444" spans="2:2" x14ac:dyDescent="0.25">
      <c r="B444" s="13"/>
    </row>
    <row r="445" spans="2:2" x14ac:dyDescent="0.25">
      <c r="B445" s="13"/>
    </row>
    <row r="446" spans="2:2" x14ac:dyDescent="0.25">
      <c r="B446" s="13"/>
    </row>
    <row r="447" spans="2:2" x14ac:dyDescent="0.25">
      <c r="B447" s="13"/>
    </row>
    <row r="448" spans="2:2" x14ac:dyDescent="0.25">
      <c r="B448" s="13"/>
    </row>
    <row r="449" spans="2:2" x14ac:dyDescent="0.25">
      <c r="B449" s="13"/>
    </row>
    <row r="450" spans="2:2" x14ac:dyDescent="0.25">
      <c r="B450" s="13"/>
    </row>
    <row r="451" spans="2:2" x14ac:dyDescent="0.25">
      <c r="B451" s="13"/>
    </row>
    <row r="452" spans="2:2" x14ac:dyDescent="0.25">
      <c r="B452" s="13"/>
    </row>
    <row r="453" spans="2:2" x14ac:dyDescent="0.25">
      <c r="B453" s="13"/>
    </row>
    <row r="454" spans="2:2" x14ac:dyDescent="0.25">
      <c r="B454" s="13"/>
    </row>
    <row r="455" spans="2:2" x14ac:dyDescent="0.25">
      <c r="B455" s="13"/>
    </row>
    <row r="456" spans="2:2" x14ac:dyDescent="0.25">
      <c r="B456" s="13"/>
    </row>
    <row r="457" spans="2:2" x14ac:dyDescent="0.25">
      <c r="B457" s="13"/>
    </row>
    <row r="458" spans="2:2" x14ac:dyDescent="0.25">
      <c r="B458" s="13"/>
    </row>
    <row r="459" spans="2:2" x14ac:dyDescent="0.25">
      <c r="B459" s="13"/>
    </row>
    <row r="460" spans="2:2" x14ac:dyDescent="0.25">
      <c r="B460" s="13"/>
    </row>
    <row r="461" spans="2:2" x14ac:dyDescent="0.25">
      <c r="B461" s="13"/>
    </row>
    <row r="462" spans="2:2" x14ac:dyDescent="0.25">
      <c r="B462" s="13"/>
    </row>
    <row r="463" spans="2:2" x14ac:dyDescent="0.25">
      <c r="B463" s="13"/>
    </row>
    <row r="464" spans="2:2" x14ac:dyDescent="0.25">
      <c r="B464" s="13"/>
    </row>
    <row r="465" spans="2:2" x14ac:dyDescent="0.25">
      <c r="B465" s="13"/>
    </row>
    <row r="466" spans="2:2" x14ac:dyDescent="0.25">
      <c r="B466" s="13"/>
    </row>
    <row r="467" spans="2:2" x14ac:dyDescent="0.25">
      <c r="B467" s="13"/>
    </row>
    <row r="468" spans="2:2" x14ac:dyDescent="0.25">
      <c r="B468" s="13"/>
    </row>
    <row r="469" spans="2:2" x14ac:dyDescent="0.25">
      <c r="B469" s="13"/>
    </row>
    <row r="470" spans="2:2" x14ac:dyDescent="0.25">
      <c r="B470" s="13"/>
    </row>
    <row r="471" spans="2:2" x14ac:dyDescent="0.25">
      <c r="B471" s="13"/>
    </row>
    <row r="472" spans="2:2" x14ac:dyDescent="0.25">
      <c r="B472" s="13"/>
    </row>
    <row r="473" spans="2:2" x14ac:dyDescent="0.25">
      <c r="B473" s="13"/>
    </row>
    <row r="474" spans="2:2" x14ac:dyDescent="0.25">
      <c r="B474" s="13"/>
    </row>
    <row r="475" spans="2:2" x14ac:dyDescent="0.25">
      <c r="B475" s="13"/>
    </row>
    <row r="476" spans="2:2" x14ac:dyDescent="0.25">
      <c r="B476" s="13"/>
    </row>
    <row r="477" spans="2:2" x14ac:dyDescent="0.25">
      <c r="B477" s="13"/>
    </row>
    <row r="478" spans="2:2" x14ac:dyDescent="0.25">
      <c r="B478" s="13"/>
    </row>
    <row r="479" spans="2:2" x14ac:dyDescent="0.25">
      <c r="B479" s="13"/>
    </row>
    <row r="480" spans="2:2" x14ac:dyDescent="0.25">
      <c r="B480" s="13"/>
    </row>
    <row r="481" spans="2:2" x14ac:dyDescent="0.25">
      <c r="B481" s="13"/>
    </row>
    <row r="482" spans="2:2" x14ac:dyDescent="0.25">
      <c r="B482" s="13"/>
    </row>
    <row r="483" spans="2:2" x14ac:dyDescent="0.25">
      <c r="B483" s="13"/>
    </row>
    <row r="484" spans="2:2" x14ac:dyDescent="0.25">
      <c r="B484" s="13"/>
    </row>
    <row r="485" spans="2:2" x14ac:dyDescent="0.25">
      <c r="B485" s="13"/>
    </row>
    <row r="486" spans="2:2" x14ac:dyDescent="0.25">
      <c r="B486" s="13"/>
    </row>
    <row r="487" spans="2:2" x14ac:dyDescent="0.25">
      <c r="B487" s="13"/>
    </row>
    <row r="488" spans="2:2" x14ac:dyDescent="0.25">
      <c r="B488" s="13"/>
    </row>
    <row r="489" spans="2:2" x14ac:dyDescent="0.25">
      <c r="B489" s="13"/>
    </row>
    <row r="490" spans="2:2" x14ac:dyDescent="0.25">
      <c r="B490" s="13"/>
    </row>
    <row r="491" spans="2:2" x14ac:dyDescent="0.25">
      <c r="B491" s="13"/>
    </row>
    <row r="492" spans="2:2" x14ac:dyDescent="0.25">
      <c r="B492" s="13"/>
    </row>
    <row r="493" spans="2:2" x14ac:dyDescent="0.25">
      <c r="B493" s="13"/>
    </row>
    <row r="494" spans="2:2" x14ac:dyDescent="0.25">
      <c r="B494" s="13"/>
    </row>
    <row r="495" spans="2:2" x14ac:dyDescent="0.25">
      <c r="B495" s="13"/>
    </row>
    <row r="496" spans="2:2" x14ac:dyDescent="0.25">
      <c r="B496" s="13"/>
    </row>
    <row r="497" spans="2:2" x14ac:dyDescent="0.25">
      <c r="B497" s="13"/>
    </row>
    <row r="498" spans="2:2" x14ac:dyDescent="0.25">
      <c r="B498" s="13"/>
    </row>
    <row r="499" spans="2:2" x14ac:dyDescent="0.25">
      <c r="B499" s="13"/>
    </row>
    <row r="500" spans="2:2" x14ac:dyDescent="0.25">
      <c r="B500" s="13"/>
    </row>
    <row r="501" spans="2:2" x14ac:dyDescent="0.25">
      <c r="B501" s="13"/>
    </row>
    <row r="502" spans="2:2" x14ac:dyDescent="0.25">
      <c r="B502" s="13"/>
    </row>
    <row r="503" spans="2:2" x14ac:dyDescent="0.25">
      <c r="B503" s="13"/>
    </row>
    <row r="504" spans="2:2" x14ac:dyDescent="0.25">
      <c r="B504" s="13"/>
    </row>
    <row r="505" spans="2:2" x14ac:dyDescent="0.25">
      <c r="B505" s="13"/>
    </row>
    <row r="506" spans="2:2" x14ac:dyDescent="0.25">
      <c r="B506" s="13"/>
    </row>
    <row r="507" spans="2:2" x14ac:dyDescent="0.25">
      <c r="B507" s="13"/>
    </row>
    <row r="508" spans="2:2" x14ac:dyDescent="0.25">
      <c r="B508" s="13"/>
    </row>
    <row r="509" spans="2:2" x14ac:dyDescent="0.25">
      <c r="B509" s="13"/>
    </row>
    <row r="510" spans="2:2" x14ac:dyDescent="0.25">
      <c r="B510" s="13"/>
    </row>
    <row r="511" spans="2:2" x14ac:dyDescent="0.25">
      <c r="B511" s="13"/>
    </row>
    <row r="512" spans="2:2" x14ac:dyDescent="0.25">
      <c r="B512" s="13"/>
    </row>
    <row r="513" spans="2:2" x14ac:dyDescent="0.25">
      <c r="B513" s="13"/>
    </row>
    <row r="514" spans="2:2" x14ac:dyDescent="0.25">
      <c r="B514" s="13"/>
    </row>
    <row r="515" spans="2:2" x14ac:dyDescent="0.25">
      <c r="B515" s="13"/>
    </row>
    <row r="516" spans="2:2" x14ac:dyDescent="0.25">
      <c r="B516" s="13"/>
    </row>
    <row r="517" spans="2:2" x14ac:dyDescent="0.25">
      <c r="B517" s="13"/>
    </row>
    <row r="518" spans="2:2" x14ac:dyDescent="0.25">
      <c r="B518" s="13"/>
    </row>
    <row r="519" spans="2:2" x14ac:dyDescent="0.25">
      <c r="B519" s="13"/>
    </row>
    <row r="520" spans="2:2" x14ac:dyDescent="0.25">
      <c r="B520" s="13"/>
    </row>
    <row r="521" spans="2:2" x14ac:dyDescent="0.25">
      <c r="B521" s="13"/>
    </row>
    <row r="522" spans="2:2" x14ac:dyDescent="0.25">
      <c r="B522" s="13"/>
    </row>
    <row r="523" spans="2:2" x14ac:dyDescent="0.25">
      <c r="B523" s="13"/>
    </row>
    <row r="524" spans="2:2" x14ac:dyDescent="0.25">
      <c r="B524" s="13"/>
    </row>
    <row r="525" spans="2:2" x14ac:dyDescent="0.25">
      <c r="B525" s="13"/>
    </row>
    <row r="526" spans="2:2" x14ac:dyDescent="0.25">
      <c r="B526" s="13"/>
    </row>
    <row r="527" spans="2:2" x14ac:dyDescent="0.25">
      <c r="B527" s="13"/>
    </row>
    <row r="528" spans="2:2" x14ac:dyDescent="0.25">
      <c r="B528" s="13"/>
    </row>
    <row r="529" spans="2:2" x14ac:dyDescent="0.25">
      <c r="B529" s="13"/>
    </row>
    <row r="530" spans="2:2" x14ac:dyDescent="0.25">
      <c r="B530" s="13"/>
    </row>
    <row r="531" spans="2:2" x14ac:dyDescent="0.25">
      <c r="B531" s="13"/>
    </row>
    <row r="532" spans="2:2" x14ac:dyDescent="0.25">
      <c r="B532" s="13"/>
    </row>
    <row r="533" spans="2:2" x14ac:dyDescent="0.25">
      <c r="B533" s="13"/>
    </row>
    <row r="534" spans="2:2" x14ac:dyDescent="0.25">
      <c r="B534" s="13"/>
    </row>
    <row r="535" spans="2:2" x14ac:dyDescent="0.25">
      <c r="B535" s="13"/>
    </row>
    <row r="536" spans="2:2" x14ac:dyDescent="0.25">
      <c r="B536" s="13"/>
    </row>
    <row r="537" spans="2:2" x14ac:dyDescent="0.25">
      <c r="B537" s="13"/>
    </row>
    <row r="538" spans="2:2" x14ac:dyDescent="0.25">
      <c r="B538" s="13"/>
    </row>
    <row r="539" spans="2:2" x14ac:dyDescent="0.25">
      <c r="B539" s="13"/>
    </row>
    <row r="540" spans="2:2" x14ac:dyDescent="0.25">
      <c r="B540" s="13"/>
    </row>
    <row r="541" spans="2:2" x14ac:dyDescent="0.25">
      <c r="B541" s="13"/>
    </row>
    <row r="542" spans="2:2" x14ac:dyDescent="0.25">
      <c r="B542" s="13"/>
    </row>
    <row r="543" spans="2:2" x14ac:dyDescent="0.25">
      <c r="B543" s="13"/>
    </row>
    <row r="544" spans="2:2" x14ac:dyDescent="0.25">
      <c r="B544" s="13"/>
    </row>
    <row r="545" spans="2:2" x14ac:dyDescent="0.25">
      <c r="B545" s="13"/>
    </row>
    <row r="546" spans="2:2" x14ac:dyDescent="0.25">
      <c r="B546" s="13"/>
    </row>
    <row r="547" spans="2:2" x14ac:dyDescent="0.25">
      <c r="B547" s="13"/>
    </row>
    <row r="548" spans="2:2" x14ac:dyDescent="0.25">
      <c r="B548" s="13"/>
    </row>
    <row r="549" spans="2:2" x14ac:dyDescent="0.25">
      <c r="B549" s="13"/>
    </row>
    <row r="550" spans="2:2" x14ac:dyDescent="0.25">
      <c r="B550" s="13"/>
    </row>
    <row r="551" spans="2:2" x14ac:dyDescent="0.25">
      <c r="B551" s="13"/>
    </row>
    <row r="552" spans="2:2" x14ac:dyDescent="0.25">
      <c r="B552" s="13"/>
    </row>
    <row r="553" spans="2:2" x14ac:dyDescent="0.25">
      <c r="B553" s="13"/>
    </row>
    <row r="554" spans="2:2" x14ac:dyDescent="0.25">
      <c r="B554" s="13"/>
    </row>
    <row r="555" spans="2:2" x14ac:dyDescent="0.25">
      <c r="B555" s="13"/>
    </row>
    <row r="556" spans="2:2" x14ac:dyDescent="0.25">
      <c r="B556" s="13"/>
    </row>
    <row r="557" spans="2:2" x14ac:dyDescent="0.25">
      <c r="B557" s="13"/>
    </row>
  </sheetData>
  <phoneticPr fontId="2" type="noConversion"/>
  <pageMargins left="0.75" right="0.75" top="1" bottom="1" header="0.5" footer="0.5"/>
  <pageSetup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EDC4C-C117-450E-86AF-BFAE5BF712D7}">
  <dimension ref="A1:N84"/>
  <sheetViews>
    <sheetView workbookViewId="0">
      <selection activeCell="B14" sqref="B14"/>
    </sheetView>
  </sheetViews>
  <sheetFormatPr defaultRowHeight="13.2" x14ac:dyDescent="0.25"/>
  <cols>
    <col min="1" max="1" width="20.6640625" customWidth="1"/>
    <col min="2" max="2" width="21.88671875" customWidth="1"/>
    <col min="3" max="3" width="38.44140625" customWidth="1"/>
    <col min="4" max="4" width="19.33203125" customWidth="1"/>
    <col min="5" max="5" width="32.44140625" customWidth="1"/>
    <col min="6" max="6" width="18.21875" customWidth="1"/>
    <col min="8" max="8" width="16.21875" customWidth="1"/>
    <col min="9" max="9" width="22.6640625" customWidth="1"/>
    <col min="10" max="10" width="15.44140625" customWidth="1"/>
    <col min="11" max="11" width="39.88671875" customWidth="1"/>
    <col min="12" max="12" width="21.6640625" customWidth="1"/>
    <col min="14" max="14" width="12.44140625" customWidth="1"/>
  </cols>
  <sheetData>
    <row r="1" spans="1:14" x14ac:dyDescent="0.25">
      <c r="A1" s="1" t="s">
        <v>172</v>
      </c>
    </row>
    <row r="2" spans="1:14" x14ac:dyDescent="0.25">
      <c r="G2" s="3"/>
    </row>
    <row r="3" spans="1:14" x14ac:dyDescent="0.25">
      <c r="A3" s="1" t="s">
        <v>83</v>
      </c>
      <c r="B3" s="4" t="s">
        <v>2</v>
      </c>
      <c r="C3" s="4" t="s">
        <v>1</v>
      </c>
      <c r="D3" s="4" t="s">
        <v>4</v>
      </c>
      <c r="E3" s="4" t="s">
        <v>54</v>
      </c>
      <c r="F3" s="4" t="s">
        <v>5</v>
      </c>
      <c r="G3" s="5"/>
      <c r="H3" s="4"/>
    </row>
    <row r="4" spans="1:14" ht="13.8" x14ac:dyDescent="0.3">
      <c r="B4" s="4" t="s">
        <v>158</v>
      </c>
      <c r="C4" s="4" t="s">
        <v>3</v>
      </c>
      <c r="D4" s="4" t="s">
        <v>3</v>
      </c>
      <c r="E4" s="4" t="s">
        <v>159</v>
      </c>
      <c r="F4" s="4" t="s">
        <v>55</v>
      </c>
      <c r="G4" s="4"/>
      <c r="H4" s="4"/>
    </row>
    <row r="5" spans="1:14" x14ac:dyDescent="0.25">
      <c r="B5" s="14">
        <v>268.84722222222223</v>
      </c>
      <c r="C5" s="6">
        <v>228600.45746999999</v>
      </c>
      <c r="D5" s="6">
        <v>148551.48371999999</v>
      </c>
      <c r="E5" s="14">
        <v>46.669648377222217</v>
      </c>
      <c r="F5" s="2">
        <v>1.0000331195000001</v>
      </c>
      <c r="G5" s="7"/>
      <c r="H5" s="7"/>
    </row>
    <row r="6" spans="1:14" x14ac:dyDescent="0.25">
      <c r="D6" s="6"/>
      <c r="E6" s="6"/>
      <c r="F6" s="2"/>
      <c r="G6" s="7"/>
      <c r="H6" s="7"/>
    </row>
    <row r="7" spans="1:14" x14ac:dyDescent="0.25">
      <c r="A7" s="1" t="s">
        <v>237</v>
      </c>
      <c r="C7" s="1" t="s">
        <v>85</v>
      </c>
      <c r="D7" s="6"/>
      <c r="E7" s="10" t="s">
        <v>86</v>
      </c>
      <c r="F7" s="2"/>
      <c r="G7" s="12" t="s">
        <v>238</v>
      </c>
      <c r="H7" s="7"/>
      <c r="I7" s="1" t="s">
        <v>85</v>
      </c>
      <c r="J7" s="6"/>
      <c r="K7" s="10" t="s">
        <v>86</v>
      </c>
    </row>
    <row r="8" spans="1:14" x14ac:dyDescent="0.25">
      <c r="B8" s="8"/>
      <c r="C8" s="8" t="s">
        <v>114</v>
      </c>
      <c r="D8" s="2">
        <v>46.998765122999998</v>
      </c>
      <c r="E8" s="11" t="s">
        <v>115</v>
      </c>
      <c r="F8" s="6">
        <f>D5+B37+B39*TAN(B38/2)</f>
        <v>185173.86382608343</v>
      </c>
      <c r="G8" s="7"/>
      <c r="H8" s="7"/>
      <c r="I8" s="8" t="s">
        <v>115</v>
      </c>
      <c r="J8" s="6">
        <f>185174.7188</f>
        <v>185174.7188</v>
      </c>
      <c r="K8" s="11" t="s">
        <v>114</v>
      </c>
      <c r="L8" s="2">
        <f>DEGREES(E73)</f>
        <v>46.998772831775</v>
      </c>
    </row>
    <row r="9" spans="1:14" x14ac:dyDescent="0.25">
      <c r="C9" s="9" t="s">
        <v>171</v>
      </c>
      <c r="D9" s="2">
        <f>268.582456789</f>
        <v>268.58245678899999</v>
      </c>
      <c r="E9" s="11" t="s">
        <v>116</v>
      </c>
      <c r="F9" s="6">
        <f>C5+B39</f>
        <v>208462.0332848673</v>
      </c>
      <c r="G9" s="7"/>
      <c r="H9" s="7"/>
      <c r="I9" s="9" t="s">
        <v>116</v>
      </c>
      <c r="J9" s="6">
        <f>208462.6474</f>
        <v>208462.64739999999</v>
      </c>
      <c r="K9" s="11" t="s">
        <v>171</v>
      </c>
      <c r="L9" s="2">
        <f>DEGREES((E30/SIN(D14))+D16)</f>
        <v>268.58246482509816</v>
      </c>
    </row>
    <row r="10" spans="1:14" x14ac:dyDescent="0.25">
      <c r="C10" s="3" t="s">
        <v>133</v>
      </c>
      <c r="D10" s="6">
        <v>350</v>
      </c>
      <c r="E10" s="11" t="s">
        <v>117</v>
      </c>
      <c r="F10" s="2">
        <f>F5*(1+B42+B43+B44)</f>
        <v>1.0000496002101111</v>
      </c>
      <c r="G10" s="7"/>
      <c r="H10" s="7"/>
      <c r="I10" s="9" t="s">
        <v>133</v>
      </c>
      <c r="J10" s="6">
        <v>200</v>
      </c>
      <c r="K10" s="11" t="s">
        <v>117</v>
      </c>
      <c r="L10" s="2">
        <f>F5*(1+E76+E77+E78)</f>
        <v>1.0000496009829825</v>
      </c>
    </row>
    <row r="11" spans="1:14" x14ac:dyDescent="0.25">
      <c r="C11" s="3"/>
      <c r="D11" s="6"/>
      <c r="E11" s="11" t="s">
        <v>118</v>
      </c>
      <c r="F11" s="13">
        <f>DEGREES((D20-D16)*SIN(D14))</f>
        <v>-0.19259285249293678</v>
      </c>
      <c r="G11" s="7"/>
      <c r="H11" s="7"/>
      <c r="I11" s="3"/>
      <c r="J11" s="6"/>
      <c r="K11" s="11" t="s">
        <v>118</v>
      </c>
      <c r="L11" s="13">
        <f>DEGREES(E30)</f>
        <v>-0.19258700695998471</v>
      </c>
    </row>
    <row r="12" spans="1:14" x14ac:dyDescent="0.25">
      <c r="A12" s="1" t="s">
        <v>119</v>
      </c>
      <c r="C12" s="3"/>
      <c r="D12" s="6"/>
      <c r="E12" s="11" t="s">
        <v>135</v>
      </c>
      <c r="F12" s="18">
        <f>INT(ROUND(B50*1000000,0))</f>
        <v>-5</v>
      </c>
      <c r="G12" s="7"/>
      <c r="H12" s="7"/>
      <c r="K12" s="11" t="s">
        <v>135</v>
      </c>
      <c r="L12" s="18">
        <f>INT(ROUND(E84*1000000,0))</f>
        <v>18</v>
      </c>
    </row>
    <row r="13" spans="1:14" x14ac:dyDescent="0.25">
      <c r="A13" s="8" t="s">
        <v>87</v>
      </c>
      <c r="B13" s="13">
        <v>6378137</v>
      </c>
      <c r="E13" s="6" t="s">
        <v>269</v>
      </c>
      <c r="F13" s="18">
        <f>INT(TRUNC(F11))</f>
        <v>0</v>
      </c>
      <c r="G13">
        <f>INT(TRUNC((F11-F13)*60))</f>
        <v>-11</v>
      </c>
      <c r="H13" s="27">
        <f>(F11-F13)*3600-G13*60</f>
        <v>-33.33426897457241</v>
      </c>
    </row>
    <row r="14" spans="1:14" ht="13.8" x14ac:dyDescent="0.3">
      <c r="A14" s="8" t="s">
        <v>88</v>
      </c>
      <c r="B14" s="29">
        <v>6356752.3141403003</v>
      </c>
      <c r="C14" s="8" t="s">
        <v>183</v>
      </c>
      <c r="D14" s="14">
        <f>RADIANS(E5)</f>
        <v>0.8145390249305563</v>
      </c>
      <c r="K14" s="11" t="s">
        <v>267</v>
      </c>
      <c r="L14" s="18">
        <f>INT(TRUNC(L8))</f>
        <v>46</v>
      </c>
      <c r="M14">
        <f>INT(TRUNC((L8-L14)*60))</f>
        <v>59</v>
      </c>
      <c r="N14" s="20">
        <f>(L8-L14)*3600-M14*60</f>
        <v>55.582194389999131</v>
      </c>
    </row>
    <row r="15" spans="1:14" x14ac:dyDescent="0.25">
      <c r="A15" s="8" t="s">
        <v>89</v>
      </c>
      <c r="B15" s="14">
        <f>SQRT((B13*B13-B14*B14)/(B13*B13))</f>
        <v>8.1819191042921971E-2</v>
      </c>
      <c r="D15" s="14"/>
      <c r="K15" s="11" t="s">
        <v>268</v>
      </c>
      <c r="L15" s="18">
        <f>INT(TRUNC(L9))</f>
        <v>268</v>
      </c>
      <c r="M15">
        <f>INT(TRUNC((L9-L15)*60))</f>
        <v>34</v>
      </c>
      <c r="N15" s="20">
        <f>(L9-L15)*3600-M15*60</f>
        <v>56.873370353364407</v>
      </c>
    </row>
    <row r="16" spans="1:14" ht="13.8" x14ac:dyDescent="0.3">
      <c r="A16" s="8" t="s">
        <v>90</v>
      </c>
      <c r="B16" s="14">
        <f>B15*B15</f>
        <v>6.6943800229181628E-3</v>
      </c>
      <c r="C16" s="8" t="s">
        <v>184</v>
      </c>
      <c r="D16" s="14">
        <f>RADIANS(B5)</f>
        <v>4.692269212618644</v>
      </c>
      <c r="H16" s="2"/>
      <c r="J16" s="13"/>
    </row>
    <row r="17" spans="1:14" x14ac:dyDescent="0.25">
      <c r="A17" s="8" t="s">
        <v>91</v>
      </c>
      <c r="B17" s="14">
        <f>SQRT(B16/(1-B16))</f>
        <v>8.2094438152024454E-2</v>
      </c>
      <c r="D17" s="14"/>
      <c r="H17" s="2"/>
      <c r="J17" s="13"/>
      <c r="K17" s="11" t="s">
        <v>270</v>
      </c>
      <c r="L17" s="18">
        <f>INT(TRUNC(L11))</f>
        <v>0</v>
      </c>
      <c r="M17">
        <f>INT(TRUNC((L11-L17)*60))</f>
        <v>-11</v>
      </c>
      <c r="N17" s="27">
        <f>(L11-L17)*3600-M17*60</f>
        <v>-33.31322505594494</v>
      </c>
    </row>
    <row r="18" spans="1:14" ht="13.8" x14ac:dyDescent="0.3">
      <c r="A18" s="8" t="s">
        <v>92</v>
      </c>
      <c r="B18" s="14">
        <f>B17*B17</f>
        <v>6.7394967754965682E-3</v>
      </c>
      <c r="C18" s="8" t="s">
        <v>185</v>
      </c>
      <c r="D18" s="14">
        <f>RADIANS(D8)</f>
        <v>0.82028319576782771</v>
      </c>
    </row>
    <row r="19" spans="1:14" x14ac:dyDescent="0.25">
      <c r="A19" s="8" t="s">
        <v>93</v>
      </c>
      <c r="B19" s="14">
        <f>(B13-B14)/(B13+B14)</f>
        <v>1.6792203946331165E-3</v>
      </c>
      <c r="D19" s="14"/>
    </row>
    <row r="20" spans="1:14" ht="13.8" x14ac:dyDescent="0.3">
      <c r="A20" s="8" t="s">
        <v>182</v>
      </c>
      <c r="B20" s="14">
        <f>B13/SQRT(1-B16*(SIN(D14))^2)</f>
        <v>6389463.2881130539</v>
      </c>
      <c r="C20" s="8" t="s">
        <v>186</v>
      </c>
      <c r="D20" s="14">
        <f>RADIANS(D9)</f>
        <v>4.6876481840634465</v>
      </c>
    </row>
    <row r="21" spans="1:14" ht="13.8" x14ac:dyDescent="0.3">
      <c r="A21" s="8" t="s">
        <v>187</v>
      </c>
      <c r="B21" s="14">
        <f>B13*(1-B16)/(1-B16*(SIN(D14))^2)^(3/2)</f>
        <v>6369250.6951607661</v>
      </c>
    </row>
    <row r="22" spans="1:14" x14ac:dyDescent="0.25">
      <c r="A22" s="8" t="s">
        <v>188</v>
      </c>
      <c r="B22" s="14">
        <f>F5*B20/TAN(D14)</f>
        <v>6027718.8885782911</v>
      </c>
    </row>
    <row r="23" spans="1:14" x14ac:dyDescent="0.25">
      <c r="A23" s="8" t="s">
        <v>189</v>
      </c>
      <c r="B23" s="14">
        <f>1-B16/4-3*(B16)^2/64-5*(B16)^3/256</f>
        <v>0.99832429844458048</v>
      </c>
    </row>
    <row r="24" spans="1:14" x14ac:dyDescent="0.25">
      <c r="A24" s="8" t="s">
        <v>127</v>
      </c>
      <c r="B24" s="14">
        <f>(3/8)*(B16+(B16)^2/4+15*(B16)^3/128)</f>
        <v>2.5146070728513572E-3</v>
      </c>
    </row>
    <row r="25" spans="1:14" x14ac:dyDescent="0.25">
      <c r="A25" s="8" t="s">
        <v>129</v>
      </c>
      <c r="B25" s="14">
        <f>(15/256)*((B16)^2+3*(B16)^3/4)</f>
        <v>2.6390466202446322E-6</v>
      </c>
    </row>
    <row r="26" spans="1:14" x14ac:dyDescent="0.25">
      <c r="A26" s="8" t="s">
        <v>131</v>
      </c>
      <c r="B26" s="15">
        <f>(35/3072)*(B16)^3</f>
        <v>3.4180461368018286E-9</v>
      </c>
    </row>
    <row r="27" spans="1:14" x14ac:dyDescent="0.25">
      <c r="A27" s="8" t="s">
        <v>190</v>
      </c>
      <c r="B27" s="14">
        <f>B13*(B23*D14-B24*SIN(2*D14)+B25*SIN(4*D14)-B26*SIN(6*D14))</f>
        <v>5170522.6058465885</v>
      </c>
    </row>
    <row r="28" spans="1:14" x14ac:dyDescent="0.25">
      <c r="B28" s="14"/>
    </row>
    <row r="29" spans="1:14" x14ac:dyDescent="0.25">
      <c r="A29" s="1" t="s">
        <v>120</v>
      </c>
      <c r="B29" s="14"/>
      <c r="D29" s="1" t="s">
        <v>134</v>
      </c>
    </row>
    <row r="30" spans="1:14" ht="13.8" x14ac:dyDescent="0.3">
      <c r="A30" s="8" t="s">
        <v>191</v>
      </c>
      <c r="B30" s="14">
        <f>B13*(B23*D18-B24*SIN(2*D18)+B25*SIN(4*D18)-B26*SIN(6*D18))</f>
        <v>5207109.7268448807</v>
      </c>
      <c r="D30" s="19" t="s">
        <v>199</v>
      </c>
      <c r="E30" s="14">
        <f>ATAN((J9-C5)/(B22-J8+D5))</f>
        <v>-3.3612773680129684E-3</v>
      </c>
    </row>
    <row r="31" spans="1:14" x14ac:dyDescent="0.25">
      <c r="A31" s="8" t="s">
        <v>192</v>
      </c>
      <c r="B31" s="14">
        <f>B30-B27</f>
        <v>36587.12099829223</v>
      </c>
      <c r="D31" s="8" t="s">
        <v>198</v>
      </c>
      <c r="E31" s="22">
        <f>J8-D5-(J9-C5)*TAN(E30/2)</f>
        <v>36589.39066552015</v>
      </c>
    </row>
    <row r="32" spans="1:14" x14ac:dyDescent="0.25">
      <c r="A32" s="8" t="s">
        <v>193</v>
      </c>
      <c r="B32" s="14">
        <f>(B31^3)/(6*B21*B20)</f>
        <v>0.20057681800292357</v>
      </c>
      <c r="D32" s="8" t="s">
        <v>205</v>
      </c>
      <c r="E32" s="21">
        <f>E31/F5</f>
        <v>36588.178883329623</v>
      </c>
    </row>
    <row r="33" spans="1:5" x14ac:dyDescent="0.25">
      <c r="A33" s="8" t="s">
        <v>194</v>
      </c>
      <c r="B33" s="14">
        <f>((B31^4)*TAN(D14)*(1-4*B18*(COS(D14)^2)))/(24*B21*(B20)^2)</f>
        <v>3.0051227344083444E-4</v>
      </c>
      <c r="D33" s="8" t="s">
        <v>206</v>
      </c>
      <c r="E33" s="23">
        <f>((E32)^3)/(6*$B$21*$B$20)</f>
        <v>0.20059421702291419</v>
      </c>
    </row>
    <row r="34" spans="1:5" x14ac:dyDescent="0.25">
      <c r="A34" s="8" t="s">
        <v>195</v>
      </c>
      <c r="B34" s="14">
        <f>((B31^5)*(5+3*(TAN(D14)^2)-3*B18-B18*COS(D14)^2))/(120*((B21)^2)*((B20)^2))</f>
        <v>2.7537354417290727E-6</v>
      </c>
      <c r="D34" s="8" t="s">
        <v>207</v>
      </c>
      <c r="E34" s="23">
        <f>((E32)^4)*TAN($D$14)*(1-4*$B$18*(COS($D$14)^2))/(24*$B$21*($B$20)^2)</f>
        <v>3.0054703116073656E-4</v>
      </c>
    </row>
    <row r="35" spans="1:5" x14ac:dyDescent="0.25">
      <c r="A35" s="8" t="s">
        <v>196</v>
      </c>
      <c r="B35" s="14">
        <f>((B31)^6)*TAN(D14)*(7+4*(TAN(D14)^2))/(240*((B21)^2)*((B20)^3))</f>
        <v>1.1508427901156486E-8</v>
      </c>
      <c r="D35" s="8" t="s">
        <v>208</v>
      </c>
      <c r="E35" s="23">
        <f>((E32)^5)*(5+3*(TAN($D$14))^2-3*$B$18-$B$18*(COS($D$14))^2)/(120*(($B$21)^2)*(($B$20)^2))</f>
        <v>2.7541335741740048E-6</v>
      </c>
    </row>
    <row r="36" spans="1:5" x14ac:dyDescent="0.25">
      <c r="A36" s="8" t="s">
        <v>197</v>
      </c>
      <c r="B36" s="14">
        <f>((B31)^7)*(60*(TAN(D14)^4)+180*(TAN(D14)^2)+61)/(5040*((B22)^3)*((B20)^3))</f>
        <v>1.0333606608825335E-10</v>
      </c>
      <c r="D36" s="8" t="s">
        <v>209</v>
      </c>
      <c r="E36" s="23">
        <f>((E32)^6)*TAN($D$14)*(7+4*(TAN($D$14))^2)/(240*(($B$21)^2)*(($B$20)^3))</f>
        <v>1.1510424583064264E-8</v>
      </c>
    </row>
    <row r="37" spans="1:5" x14ac:dyDescent="0.25">
      <c r="A37" s="8" t="s">
        <v>198</v>
      </c>
      <c r="B37" s="14">
        <f>F5*(B31+B32+B33+B34+B35+B36)</f>
        <v>36588.533632194805</v>
      </c>
      <c r="D37" s="8" t="s">
        <v>210</v>
      </c>
      <c r="E37" s="23">
        <f>((E32)^7)*(60*(TAN($D$14))^4+180*(TAN($D$14))^2+61)/(5040*(($B$21)^3)*(($B$20)^3))</f>
        <v>8.7605982547766087E-11</v>
      </c>
    </row>
    <row r="38" spans="1:5" ht="13.8" x14ac:dyDescent="0.3">
      <c r="A38" s="19" t="s">
        <v>199</v>
      </c>
      <c r="B38" s="14">
        <f>(D20-D16)*SIN(D14)</f>
        <v>-3.3613793918095161E-3</v>
      </c>
      <c r="D38" s="8" t="s">
        <v>211</v>
      </c>
      <c r="E38" s="23">
        <f>($E$31/$F$5)-E32-E33-E34-E35-E36-E37</f>
        <v>-0.20089752978567965</v>
      </c>
    </row>
    <row r="39" spans="1:5" x14ac:dyDescent="0.25">
      <c r="A39" s="8" t="s">
        <v>200</v>
      </c>
      <c r="B39" s="14">
        <f>(B22-B37)*SIN(B38)</f>
        <v>-20138.424185132684</v>
      </c>
      <c r="D39" s="8" t="s">
        <v>212</v>
      </c>
      <c r="E39" s="23">
        <f>1+3*E33/E32+4*E34/E32+5*E35/E32+6*E36/E32+7*E37/E32</f>
        <v>1.0000164806967153</v>
      </c>
    </row>
    <row r="40" spans="1:5" x14ac:dyDescent="0.25">
      <c r="B40" s="14"/>
      <c r="D40" s="8" t="s">
        <v>213</v>
      </c>
      <c r="E40" s="23">
        <f>E38/E39</f>
        <v>-0.20089421890898596</v>
      </c>
    </row>
    <row r="41" spans="1:5" x14ac:dyDescent="0.25">
      <c r="A41" s="1" t="s">
        <v>5</v>
      </c>
      <c r="B41" s="14"/>
      <c r="D41" s="8" t="s">
        <v>214</v>
      </c>
      <c r="E41" s="23">
        <f>E32+E40</f>
        <v>36587.977989110717</v>
      </c>
    </row>
    <row r="42" spans="1:5" x14ac:dyDescent="0.25">
      <c r="A42" s="8" t="s">
        <v>201</v>
      </c>
      <c r="B42" s="14">
        <f>B31*B31/(2*B20*B21)</f>
        <v>1.6446510072133241E-5</v>
      </c>
      <c r="D42" s="8" t="s">
        <v>215</v>
      </c>
      <c r="E42" s="23">
        <f>((E41)^3)/(6*$B$21*$B$20)</f>
        <v>0.20059091284119387</v>
      </c>
    </row>
    <row r="43" spans="1:5" x14ac:dyDescent="0.25">
      <c r="A43" s="8" t="s">
        <v>202</v>
      </c>
      <c r="B43" s="14">
        <f>((B31)^3)*TAN(D14)/(6*B21*(B20^2))</f>
        <v>3.3276843979390925E-8</v>
      </c>
      <c r="D43" s="8" t="s">
        <v>216</v>
      </c>
      <c r="E43" s="23">
        <f>((E41)^4)*TAN($D$14)*(1-4*$B$18*(COS($D$14)^2))/(24*$B$21*($B$20)^2)</f>
        <v>3.0054043037702576E-4</v>
      </c>
    </row>
    <row r="44" spans="1:5" x14ac:dyDescent="0.25">
      <c r="A44" s="8" t="s">
        <v>203</v>
      </c>
      <c r="B44" s="14">
        <f>(B31^4)*(5+3*(TAN(D14)^2))/(24*(B21^2)*(B20^2))</f>
        <v>3.7738032919922632E-10</v>
      </c>
      <c r="D44" s="8" t="s">
        <v>217</v>
      </c>
      <c r="E44" s="23">
        <f>((E41)^5)*(5+3*(TAN($D$14))^2-3*$B$18-$B$18*(COS($D$14))^2)/(120*(($B$21)^2)*(($B$20)^2))</f>
        <v>2.7540579645844883E-6</v>
      </c>
    </row>
    <row r="45" spans="1:5" x14ac:dyDescent="0.25">
      <c r="B45" s="14"/>
      <c r="D45" s="8" t="s">
        <v>218</v>
      </c>
      <c r="E45" s="23">
        <f>((E41)^6)*TAN($D$14)*(7+4*(TAN($D$14))^2)/(240*(($B$21)^2)*(($B$20)^3))</f>
        <v>1.151004538747399E-8</v>
      </c>
    </row>
    <row r="46" spans="1:5" x14ac:dyDescent="0.25">
      <c r="A46" s="1" t="s">
        <v>152</v>
      </c>
      <c r="B46" s="14"/>
      <c r="D46" s="8" t="s">
        <v>219</v>
      </c>
      <c r="E46" s="23">
        <f>((E41)^7)*(60*(TAN($D$14))^4+180*(TAN($D$14))^2+61)/(5040*(($B$21)^3)*(($B$20)^3))</f>
        <v>8.7602615484344987E-11</v>
      </c>
    </row>
    <row r="47" spans="1:5" x14ac:dyDescent="0.25">
      <c r="A47" s="8" t="s">
        <v>204</v>
      </c>
      <c r="B47" s="14">
        <f>B13/SQRT(1-B16*(SIN(D18)^2))</f>
        <v>6389586.3242132533</v>
      </c>
      <c r="D47" s="8" t="s">
        <v>220</v>
      </c>
      <c r="E47" s="23">
        <f>($E$31/$F$5)-E41-E42-E43-E44-E45-E46</f>
        <v>-2.1296387019375577E-11</v>
      </c>
    </row>
    <row r="48" spans="1:5" ht="13.8" x14ac:dyDescent="0.3">
      <c r="A48" s="19" t="s">
        <v>154</v>
      </c>
      <c r="B48" s="14">
        <f>B13*(1-B16)/(1-B16*(SIN(D18)^2))^(3/2)</f>
        <v>6369618.6428997917</v>
      </c>
      <c r="D48" s="8" t="s">
        <v>212</v>
      </c>
      <c r="E48" s="23">
        <f>1+3*E42/E41+4*E43/E41+5*E44/E41+6*E45/E41+7*E46/E41</f>
        <v>1.0000164805155503</v>
      </c>
    </row>
    <row r="49" spans="1:6" x14ac:dyDescent="0.25">
      <c r="A49" s="8" t="s">
        <v>155</v>
      </c>
      <c r="B49" s="14">
        <f>SQRT(B47*B48)</f>
        <v>6379594.6713820538</v>
      </c>
      <c r="D49" s="8" t="s">
        <v>213</v>
      </c>
      <c r="E49" s="23">
        <f>E47/E48</f>
        <v>-2.1296036049722301E-11</v>
      </c>
    </row>
    <row r="50" spans="1:6" x14ac:dyDescent="0.25">
      <c r="A50" s="8" t="s">
        <v>156</v>
      </c>
      <c r="B50" s="14">
        <f>F10*(B49/(B49+D10))-1</f>
        <v>-5.2619208480431112E-6</v>
      </c>
      <c r="D50" s="8" t="s">
        <v>221</v>
      </c>
      <c r="E50" s="23">
        <f>E41+E49</f>
        <v>36587.977989110695</v>
      </c>
    </row>
    <row r="51" spans="1:6" x14ac:dyDescent="0.25">
      <c r="B51" s="14"/>
      <c r="D51" s="8" t="s">
        <v>222</v>
      </c>
      <c r="E51" s="23">
        <f>((E50)^3)/(6*$B$21*$B$20)</f>
        <v>0.20059091284119357</v>
      </c>
    </row>
    <row r="52" spans="1:6" x14ac:dyDescent="0.25">
      <c r="B52" s="14"/>
      <c r="D52" s="8" t="s">
        <v>223</v>
      </c>
      <c r="E52" s="23">
        <f>((E50)^4)*TAN($D$14)*(1-4*$B$18*(COS($D$14)^2))/(24*$B$21*($B$20)^2)</f>
        <v>3.0054043037702511E-4</v>
      </c>
    </row>
    <row r="53" spans="1:6" x14ac:dyDescent="0.25">
      <c r="D53" s="8" t="s">
        <v>224</v>
      </c>
      <c r="E53" s="23">
        <f>((E50)^5)*(5+3*(TAN($D$14))^2-3*$B$18-$B$18*(COS($D$14))^2)/(120*(($B$21)^2)*(($B$20)^2))</f>
        <v>2.7540579645844807E-6</v>
      </c>
    </row>
    <row r="54" spans="1:6" x14ac:dyDescent="0.25">
      <c r="D54" s="8" t="s">
        <v>225</v>
      </c>
      <c r="E54" s="23">
        <f>((E50)^6)*TAN($D$14)*(7+4*(TAN($D$14))^2)/(240*(($B$21)^2)*(($B$20)^3))</f>
        <v>1.1510045387473954E-8</v>
      </c>
    </row>
    <row r="55" spans="1:6" x14ac:dyDescent="0.25">
      <c r="D55" s="8" t="s">
        <v>226</v>
      </c>
      <c r="E55" s="23">
        <f>((E50)^7)*(60*(TAN($D$14))^4+180*(TAN($D$14))^2+61)/(5040*(($B$21)^3)*(($B$20)^3))</f>
        <v>8.7602615484344651E-11</v>
      </c>
    </row>
    <row r="56" spans="1:6" x14ac:dyDescent="0.25">
      <c r="D56" s="8" t="s">
        <v>227</v>
      </c>
      <c r="E56" s="23">
        <f>($E$31/$F$5)-E50-E51-E52-E53-E54-E55</f>
        <v>5.317917926878049E-13</v>
      </c>
    </row>
    <row r="57" spans="1:6" x14ac:dyDescent="0.25">
      <c r="D57" s="8" t="s">
        <v>212</v>
      </c>
      <c r="E57" s="23">
        <f>1+3*E51/E50+4*E52/E50+5*E53/E50+6*E54/E50+7*E55/E50</f>
        <v>1.0000164805155503</v>
      </c>
    </row>
    <row r="58" spans="1:6" x14ac:dyDescent="0.25">
      <c r="D58" s="8" t="s">
        <v>213</v>
      </c>
      <c r="E58" s="23">
        <f>E56/E57</f>
        <v>5.3178302862933219E-13</v>
      </c>
    </row>
    <row r="59" spans="1:6" x14ac:dyDescent="0.25">
      <c r="D59" s="8" t="s">
        <v>228</v>
      </c>
      <c r="E59" s="23">
        <f>E50+E58</f>
        <v>36587.977989110695</v>
      </c>
    </row>
    <row r="60" spans="1:6" ht="13.8" x14ac:dyDescent="0.3">
      <c r="D60" s="8" t="s">
        <v>191</v>
      </c>
      <c r="E60" s="23">
        <f>B27+E59</f>
        <v>5207110.5838356996</v>
      </c>
    </row>
    <row r="61" spans="1:6" ht="13.8" x14ac:dyDescent="0.3">
      <c r="D61" s="8" t="s">
        <v>229</v>
      </c>
      <c r="E61" s="23">
        <f>E60/($B$13*$B$23)</f>
        <v>0.81777026632111716</v>
      </c>
    </row>
    <row r="62" spans="1:6" x14ac:dyDescent="0.25">
      <c r="D62" s="8" t="s">
        <v>230</v>
      </c>
      <c r="E62" s="23">
        <f>$E$60-$B$13*($B$23*E61-$B$24*SIN(2*E61)+$B$25*SIN(4*E61)-$B$26*SIN(6*E61))</f>
        <v>16007.057043343782</v>
      </c>
    </row>
    <row r="63" spans="1:6" x14ac:dyDescent="0.25">
      <c r="D63" s="8" t="s">
        <v>212</v>
      </c>
      <c r="E63" s="23">
        <f>$B$13*($B$23-2*$B$24*COS(2*E61)+4*$B$25*COS(4*E61)-6*$B$26*COS(6*E61))</f>
        <v>6369457.7058865707</v>
      </c>
      <c r="F63" s="1" t="s">
        <v>232</v>
      </c>
    </row>
    <row r="64" spans="1:6" ht="13.8" x14ac:dyDescent="0.3">
      <c r="D64" s="8" t="s">
        <v>231</v>
      </c>
      <c r="E64" s="23">
        <f>E62/E63</f>
        <v>2.513095742601488E-3</v>
      </c>
      <c r="F64">
        <f>DEGREES(E64)*3600</f>
        <v>518.36320642809858</v>
      </c>
    </row>
    <row r="65" spans="4:6" ht="13.8" x14ac:dyDescent="0.3">
      <c r="D65" s="19" t="s">
        <v>233</v>
      </c>
      <c r="E65" s="23">
        <f>E61+E64</f>
        <v>0.82028336206371866</v>
      </c>
    </row>
    <row r="66" spans="4:6" x14ac:dyDescent="0.25">
      <c r="D66" s="8" t="s">
        <v>230</v>
      </c>
      <c r="E66" s="23">
        <f>$E$60-$B$13*($B$23*E65-$B$24*SIN(2*E65)+$B$25*SIN(4*E65)-$B$26*SIN(6*E65))</f>
        <v>-0.2022505896165967</v>
      </c>
    </row>
    <row r="67" spans="4:6" x14ac:dyDescent="0.25">
      <c r="D67" s="8" t="s">
        <v>212</v>
      </c>
      <c r="E67" s="23">
        <f>$B$13*($B$23-2*$B$24*COS(2*E65)+4*$B$25*COS(4*E65)-6*$B$26*COS(6*E65))</f>
        <v>6369618.655263246</v>
      </c>
      <c r="F67" s="1" t="s">
        <v>232</v>
      </c>
    </row>
    <row r="68" spans="4:6" ht="13.8" x14ac:dyDescent="0.3">
      <c r="D68" s="8" t="s">
        <v>231</v>
      </c>
      <c r="E68" s="23">
        <f>E66/E67</f>
        <v>-3.1752385906097546E-8</v>
      </c>
      <c r="F68">
        <f>DEGREES(E68)*3600</f>
        <v>-6.5493997268042435E-3</v>
      </c>
    </row>
    <row r="69" spans="4:6" ht="13.8" x14ac:dyDescent="0.3">
      <c r="D69" s="19" t="s">
        <v>234</v>
      </c>
      <c r="E69" s="23">
        <f>E65+E68</f>
        <v>0.82028333031133271</v>
      </c>
    </row>
    <row r="70" spans="4:6" x14ac:dyDescent="0.25">
      <c r="D70" s="8" t="s">
        <v>230</v>
      </c>
      <c r="E70" s="23">
        <f>$E$60-$B$13*($B$23*E69-$B$24*SIN(2*E69)+$B$25*SIN(4*E69)-$B$26*SIN(6*E69))</f>
        <v>0</v>
      </c>
    </row>
    <row r="71" spans="4:6" x14ac:dyDescent="0.25">
      <c r="D71" s="8" t="s">
        <v>212</v>
      </c>
      <c r="E71" s="23">
        <f>$B$13*($B$23-2*$B$24*COS(2*E69)+4*$B$25*COS(4*E69)-6*$B$26*COS(6*E69))</f>
        <v>6369618.6532299928</v>
      </c>
      <c r="F71" s="1" t="s">
        <v>232</v>
      </c>
    </row>
    <row r="72" spans="4:6" ht="13.8" x14ac:dyDescent="0.3">
      <c r="D72" s="8" t="s">
        <v>231</v>
      </c>
      <c r="E72" s="23">
        <f>E70/E71</f>
        <v>0</v>
      </c>
      <c r="F72">
        <f>DEGREES(E72)*3600</f>
        <v>0</v>
      </c>
    </row>
    <row r="73" spans="4:6" ht="13.8" x14ac:dyDescent="0.3">
      <c r="D73" s="19" t="s">
        <v>235</v>
      </c>
      <c r="E73" s="23">
        <f>E69+E72</f>
        <v>0.82028333031133271</v>
      </c>
    </row>
    <row r="74" spans="4:6" x14ac:dyDescent="0.25">
      <c r="E74" s="23"/>
    </row>
    <row r="75" spans="4:6" x14ac:dyDescent="0.25">
      <c r="D75" s="1" t="s">
        <v>5</v>
      </c>
      <c r="E75" s="14"/>
    </row>
    <row r="76" spans="4:6" x14ac:dyDescent="0.25">
      <c r="D76" s="8" t="s">
        <v>201</v>
      </c>
      <c r="E76" s="14">
        <f>E59*E59/(2*B20*B21)</f>
        <v>1.6447280543972124E-5</v>
      </c>
    </row>
    <row r="77" spans="4:6" x14ac:dyDescent="0.25">
      <c r="D77" s="8" t="s">
        <v>202</v>
      </c>
      <c r="E77" s="14">
        <f>((E59)^3)*TAN(D14)/(6*B21*(B20^2))</f>
        <v>3.3279182393863221E-8</v>
      </c>
    </row>
    <row r="78" spans="4:6" x14ac:dyDescent="0.25">
      <c r="D78" s="8" t="s">
        <v>203</v>
      </c>
      <c r="E78" s="14">
        <f>(E59^4)*(5+3*(TAN(D14)^2))/(24*(B21^2)*(B20^2))</f>
        <v>3.7741568840012419E-10</v>
      </c>
    </row>
    <row r="79" spans="4:6" x14ac:dyDescent="0.25">
      <c r="E79" s="14"/>
    </row>
    <row r="80" spans="4:6" x14ac:dyDescent="0.25">
      <c r="D80" s="1" t="s">
        <v>152</v>
      </c>
      <c r="E80" s="14"/>
    </row>
    <row r="81" spans="4:5" x14ac:dyDescent="0.25">
      <c r="D81" s="8" t="s">
        <v>204</v>
      </c>
      <c r="E81" s="14">
        <f>B13/SQRT(1-B16*(SIN(E73)^2))</f>
        <v>6389586.3270940706</v>
      </c>
    </row>
    <row r="82" spans="4:5" ht="13.8" x14ac:dyDescent="0.3">
      <c r="D82" s="19" t="s">
        <v>154</v>
      </c>
      <c r="E82" s="14">
        <f>B13*(1-B16)/(1-B16*(SIN(E73)^2))^(3/2)</f>
        <v>6369618.6515152352</v>
      </c>
    </row>
    <row r="83" spans="4:5" x14ac:dyDescent="0.25">
      <c r="D83" s="8" t="s">
        <v>155</v>
      </c>
      <c r="E83" s="14">
        <f>SQRT(E81*E82)</f>
        <v>6379594.6771346778</v>
      </c>
    </row>
    <row r="84" spans="4:5" x14ac:dyDescent="0.25">
      <c r="D84" s="8" t="s">
        <v>156</v>
      </c>
      <c r="E84" s="14">
        <f>L10*(E83/(E83+J10))-1</f>
        <v>1.8250456779167479E-5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86AF5-D2ED-4674-B8ED-12CA33FED3E7}">
  <dimension ref="A1:N60"/>
  <sheetViews>
    <sheetView workbookViewId="0">
      <selection activeCell="B14" sqref="B14"/>
    </sheetView>
  </sheetViews>
  <sheetFormatPr defaultRowHeight="13.2" x14ac:dyDescent="0.25"/>
  <cols>
    <col min="1" max="1" width="15.77734375" customWidth="1"/>
    <col min="2" max="2" width="22.21875" customWidth="1"/>
    <col min="3" max="3" width="39.33203125" customWidth="1"/>
    <col min="4" max="4" width="23.5546875" customWidth="1"/>
    <col min="5" max="5" width="32.21875" customWidth="1"/>
    <col min="6" max="6" width="19.6640625" customWidth="1"/>
    <col min="7" max="7" width="16.88671875" customWidth="1"/>
    <col min="8" max="8" width="10.21875" customWidth="1"/>
    <col min="9" max="9" width="22.77734375" customWidth="1"/>
    <col min="10" max="10" width="17" customWidth="1"/>
    <col min="11" max="11" width="40.109375" customWidth="1"/>
    <col min="12" max="12" width="18.21875" customWidth="1"/>
    <col min="14" max="14" width="12.5546875" customWidth="1"/>
  </cols>
  <sheetData>
    <row r="1" spans="1:14" x14ac:dyDescent="0.25">
      <c r="A1" s="1" t="s">
        <v>236</v>
      </c>
    </row>
    <row r="2" spans="1:14" x14ac:dyDescent="0.25">
      <c r="G2" s="3"/>
    </row>
    <row r="3" spans="1:14" x14ac:dyDescent="0.25">
      <c r="A3" s="1" t="s">
        <v>83</v>
      </c>
      <c r="B3" s="4" t="s">
        <v>166</v>
      </c>
      <c r="C3" s="4" t="s">
        <v>166</v>
      </c>
      <c r="D3" s="4" t="s">
        <v>2</v>
      </c>
      <c r="E3" s="4" t="s">
        <v>166</v>
      </c>
      <c r="F3" s="4" t="s">
        <v>1</v>
      </c>
      <c r="G3" s="4" t="s">
        <v>4</v>
      </c>
      <c r="H3" s="4"/>
    </row>
    <row r="4" spans="1:14" ht="13.8" x14ac:dyDescent="0.3">
      <c r="B4" s="4" t="s">
        <v>167</v>
      </c>
      <c r="C4" s="4" t="s">
        <v>168</v>
      </c>
      <c r="D4" s="4" t="s">
        <v>239</v>
      </c>
      <c r="E4" s="4" t="s">
        <v>169</v>
      </c>
      <c r="F4" s="4" t="s">
        <v>3</v>
      </c>
      <c r="G4" s="4" t="s">
        <v>3</v>
      </c>
      <c r="H4" s="4"/>
    </row>
    <row r="5" spans="1:14" x14ac:dyDescent="0.25">
      <c r="B5" s="14">
        <f>46+46/60</f>
        <v>46.766666666666666</v>
      </c>
      <c r="C5" s="14">
        <f>45+34/60</f>
        <v>45.56666666666667</v>
      </c>
      <c r="D5" s="14">
        <f>270</f>
        <v>270</v>
      </c>
      <c r="E5" s="14">
        <f>45+10/60</f>
        <v>45.166666666666664</v>
      </c>
      <c r="F5" s="6">
        <f>600000</f>
        <v>600000</v>
      </c>
      <c r="G5" s="6">
        <f>0</f>
        <v>0</v>
      </c>
      <c r="H5" s="7"/>
    </row>
    <row r="6" spans="1:14" x14ac:dyDescent="0.25">
      <c r="D6" s="6"/>
      <c r="E6" s="6"/>
      <c r="F6" s="2"/>
      <c r="G6" s="7"/>
      <c r="H6" s="7"/>
    </row>
    <row r="7" spans="1:14" x14ac:dyDescent="0.25">
      <c r="A7" s="1" t="s">
        <v>237</v>
      </c>
      <c r="C7" s="1" t="s">
        <v>85</v>
      </c>
      <c r="D7" s="6"/>
      <c r="E7" s="10" t="s">
        <v>86</v>
      </c>
      <c r="F7" s="2"/>
      <c r="G7" s="12" t="s">
        <v>238</v>
      </c>
      <c r="H7" s="7"/>
      <c r="I7" s="1" t="s">
        <v>85</v>
      </c>
      <c r="J7" s="6"/>
      <c r="K7" s="10" t="s">
        <v>86</v>
      </c>
    </row>
    <row r="8" spans="1:14" x14ac:dyDescent="0.25">
      <c r="B8" s="8"/>
      <c r="C8" s="8" t="s">
        <v>114</v>
      </c>
      <c r="D8" s="2">
        <v>45.998765123399998</v>
      </c>
      <c r="E8" s="11" t="s">
        <v>115</v>
      </c>
      <c r="F8" s="6">
        <f>B24+G5-B28*COS(RADIANS(B29))</f>
        <v>97239.280647739768</v>
      </c>
      <c r="G8" s="7"/>
      <c r="H8" s="7"/>
      <c r="I8" s="8" t="s">
        <v>115</v>
      </c>
      <c r="J8" s="6">
        <f>97241.6503</f>
        <v>97241.650299999994</v>
      </c>
      <c r="K8" s="11" t="s">
        <v>114</v>
      </c>
      <c r="L8" s="2">
        <f>DEGREES(E44)</f>
        <v>45.998788951403697</v>
      </c>
    </row>
    <row r="9" spans="1:14" x14ac:dyDescent="0.25">
      <c r="C9" s="9" t="s">
        <v>171</v>
      </c>
      <c r="D9" s="2">
        <f>273.123456789</f>
        <v>273.12345678899999</v>
      </c>
      <c r="E9" s="11" t="s">
        <v>116</v>
      </c>
      <c r="F9" s="6">
        <f>F5+B28*SIN(RADIANS(B29))</f>
        <v>841884.11798984848</v>
      </c>
      <c r="G9" s="7"/>
      <c r="H9" s="7"/>
      <c r="I9" s="9" t="s">
        <v>116</v>
      </c>
      <c r="J9" s="6">
        <f>841876.9817</f>
        <v>841876.9817</v>
      </c>
      <c r="K9" s="11" t="s">
        <v>171</v>
      </c>
      <c r="L9" s="24">
        <f>DEGREES(E29)/SIN(B22)+D5</f>
        <v>273.12336593552357</v>
      </c>
    </row>
    <row r="10" spans="1:14" x14ac:dyDescent="0.25">
      <c r="C10" s="3" t="s">
        <v>133</v>
      </c>
      <c r="D10" s="6">
        <v>350</v>
      </c>
      <c r="E10" s="11" t="s">
        <v>117</v>
      </c>
      <c r="F10" s="2">
        <f>SQRT(1-$B$16*(SIN(D20))^2)*B28*SIN($B$22)/($B$13*COS(D20))</f>
        <v>0.99994967701033521</v>
      </c>
      <c r="G10" s="7"/>
      <c r="H10" s="7"/>
      <c r="I10" s="9" t="s">
        <v>133</v>
      </c>
      <c r="J10" s="6">
        <v>200</v>
      </c>
      <c r="K10" s="11" t="s">
        <v>117</v>
      </c>
      <c r="L10" s="2">
        <f>SQRT(1-$B$16*(SIN(E44))^2)*E30*SIN($B$22)/($B$13*COS(E44))</f>
        <v>0.99994967578960781</v>
      </c>
    </row>
    <row r="11" spans="1:14" x14ac:dyDescent="0.25">
      <c r="C11" s="3"/>
      <c r="D11" s="6"/>
      <c r="E11" s="11" t="s">
        <v>118</v>
      </c>
      <c r="F11" s="13">
        <f>B29</f>
        <v>2.2531704869472828</v>
      </c>
      <c r="G11" s="7"/>
      <c r="H11" s="7"/>
      <c r="I11" s="3"/>
      <c r="J11" s="6"/>
      <c r="K11" s="11" t="s">
        <v>118</v>
      </c>
      <c r="L11" s="13">
        <f>DEGREES(E29)</f>
        <v>2.2531049479033696</v>
      </c>
    </row>
    <row r="12" spans="1:14" x14ac:dyDescent="0.25">
      <c r="A12" s="1" t="s">
        <v>119</v>
      </c>
      <c r="C12" s="3"/>
      <c r="D12" s="6"/>
      <c r="E12" s="11" t="s">
        <v>135</v>
      </c>
      <c r="F12" s="18">
        <f>INT(ROUND(B35*1000000,0))</f>
        <v>-105</v>
      </c>
      <c r="G12" s="7"/>
      <c r="H12" s="7"/>
      <c r="K12" s="11" t="s">
        <v>135</v>
      </c>
      <c r="L12" s="18">
        <f>INT(ROUND(E50*1000000,0))</f>
        <v>-82</v>
      </c>
    </row>
    <row r="13" spans="1:14" x14ac:dyDescent="0.25">
      <c r="A13" s="8" t="s">
        <v>87</v>
      </c>
      <c r="B13" s="13">
        <v>6378137</v>
      </c>
      <c r="E13" s="6" t="s">
        <v>269</v>
      </c>
      <c r="F13" s="18">
        <f>INT(TRUNC(F11))</f>
        <v>2</v>
      </c>
      <c r="G13">
        <f>INT(TRUNC((F11-F13)*60))</f>
        <v>15</v>
      </c>
      <c r="H13" s="27">
        <f>(F11-F13)*3600-G13*60</f>
        <v>11.413753010218215</v>
      </c>
    </row>
    <row r="14" spans="1:14" ht="13.8" x14ac:dyDescent="0.3">
      <c r="A14" s="8" t="s">
        <v>88</v>
      </c>
      <c r="B14" s="29">
        <v>6356752.3141403003</v>
      </c>
      <c r="C14" s="8" t="s">
        <v>241</v>
      </c>
      <c r="D14" s="14">
        <f>RADIANS(C5)</f>
        <v>0.7952883624920829</v>
      </c>
      <c r="K14" s="11" t="s">
        <v>267</v>
      </c>
      <c r="L14" s="18">
        <f>INT(TRUNC(L8))</f>
        <v>45</v>
      </c>
      <c r="M14">
        <f>INT(TRUNC((L8-L14)*60))</f>
        <v>59</v>
      </c>
      <c r="N14" s="20">
        <f>(L8-L14)*3600-M14*60</f>
        <v>55.640225053307404</v>
      </c>
    </row>
    <row r="15" spans="1:14" x14ac:dyDescent="0.25">
      <c r="A15" s="8" t="s">
        <v>89</v>
      </c>
      <c r="B15" s="14">
        <f>SQRT((B13*B13-B14*B14)/(B13*B13))</f>
        <v>8.1819191042921971E-2</v>
      </c>
      <c r="D15" s="14"/>
      <c r="K15" s="11" t="s">
        <v>268</v>
      </c>
      <c r="L15" s="18">
        <f>INT(TRUNC(L9))</f>
        <v>273</v>
      </c>
      <c r="M15">
        <f>INT(TRUNC((L9-L15)*60))</f>
        <v>7</v>
      </c>
      <c r="N15" s="20">
        <f>(L9-L15)*3600-M15*60</f>
        <v>24.117367884837222</v>
      </c>
    </row>
    <row r="16" spans="1:14" ht="13.8" x14ac:dyDescent="0.3">
      <c r="A16" s="8" t="s">
        <v>90</v>
      </c>
      <c r="B16" s="14">
        <f>B15*B15</f>
        <v>6.6943800229181628E-3</v>
      </c>
      <c r="C16" s="8" t="s">
        <v>242</v>
      </c>
      <c r="D16" s="14">
        <f>RADIANS(B5)</f>
        <v>0.81623231351601477</v>
      </c>
      <c r="H16" s="2"/>
      <c r="J16" s="13"/>
      <c r="K16" s="2"/>
    </row>
    <row r="17" spans="1:14" x14ac:dyDescent="0.25">
      <c r="A17" s="8" t="s">
        <v>240</v>
      </c>
      <c r="B17" s="14">
        <f>0.5*(LN((1+SIN(D14))/(1-SIN(D14)))-$B$15*LN((1+$B$15*SIN(D14))/(1-$B$15*SIN(D14))))</f>
        <v>0.89064462144176515</v>
      </c>
      <c r="D17" s="14"/>
      <c r="H17" s="2"/>
      <c r="J17" s="13"/>
      <c r="K17" s="11" t="s">
        <v>270</v>
      </c>
      <c r="L17" s="18">
        <f>INT(TRUNC(L11))</f>
        <v>2</v>
      </c>
      <c r="M17">
        <f>INT(TRUNC((L11-L17)*60))</f>
        <v>15</v>
      </c>
      <c r="N17" s="27">
        <f>(L11-L17)*3600-M17*60</f>
        <v>11.177812452130411</v>
      </c>
    </row>
    <row r="18" spans="1:14" ht="13.8" x14ac:dyDescent="0.3">
      <c r="A18" s="8" t="s">
        <v>244</v>
      </c>
      <c r="B18" s="14">
        <f>SQRT(1-$B$16*(SIN(D14))^2)</f>
        <v>0.99829184387869918</v>
      </c>
      <c r="C18" s="8" t="s">
        <v>243</v>
      </c>
      <c r="D18" s="14">
        <f>RADIANS(E5)</f>
        <v>0.78830704548410546</v>
      </c>
    </row>
    <row r="19" spans="1:14" x14ac:dyDescent="0.25">
      <c r="A19" s="8" t="s">
        <v>245</v>
      </c>
      <c r="B19" s="14">
        <f>0.5*(LN((1+SIN(D16))/(1-SIN(D16)))-$B$15*LN((1+$B$15*SIN(D16))/(1-$B$15*SIN(D16))))</f>
        <v>0.92079015715270329</v>
      </c>
      <c r="D19" s="14"/>
    </row>
    <row r="20" spans="1:14" ht="13.8" x14ac:dyDescent="0.3">
      <c r="A20" s="8" t="s">
        <v>247</v>
      </c>
      <c r="B20" s="14">
        <f>SQRT(1-$B$16*(SIN(D16))^2)</f>
        <v>0.99822168143023748</v>
      </c>
      <c r="C20" s="8" t="s">
        <v>185</v>
      </c>
      <c r="D20" s="14">
        <f>RADIANS(D8)</f>
        <v>0.8028299032548657</v>
      </c>
    </row>
    <row r="21" spans="1:14" x14ac:dyDescent="0.25">
      <c r="A21" s="8" t="s">
        <v>246</v>
      </c>
      <c r="B21" s="14">
        <f>0.5*(LN((1+SIN(D18))/(1-SIN(D18)))-$B$15*LN((1+$B$15*SIN(D18))/(1-$B$15*SIN(D18))))</f>
        <v>0.88074063874181829</v>
      </c>
    </row>
    <row r="22" spans="1:14" ht="13.8" x14ac:dyDescent="0.3">
      <c r="A22" s="8" t="s">
        <v>248</v>
      </c>
      <c r="B22" s="14">
        <f>ASIN(LN(B20*COS(D14)/(B18*COS(D16)))/(B19-B17))</f>
        <v>0.80577962188912988</v>
      </c>
    </row>
    <row r="23" spans="1:14" x14ac:dyDescent="0.25">
      <c r="A23" s="8" t="s">
        <v>249</v>
      </c>
      <c r="B23" s="14">
        <f>B13*COS(D14)*EXP(B17*SIN(B22))/(B18*SIN(B22))</f>
        <v>11788334.316937352</v>
      </c>
    </row>
    <row r="24" spans="1:14" x14ac:dyDescent="0.25">
      <c r="A24" s="8" t="s">
        <v>250</v>
      </c>
      <c r="B24" s="15">
        <f>B23/EXP(B21*SIN(B22))</f>
        <v>6244929.5104952781</v>
      </c>
    </row>
    <row r="25" spans="1:14" x14ac:dyDescent="0.25">
      <c r="B25" s="14"/>
    </row>
    <row r="26" spans="1:14" x14ac:dyDescent="0.25">
      <c r="A26" s="1" t="s">
        <v>120</v>
      </c>
      <c r="B26" s="14"/>
      <c r="D26" s="1" t="s">
        <v>134</v>
      </c>
    </row>
    <row r="27" spans="1:14" x14ac:dyDescent="0.25">
      <c r="A27" s="8" t="s">
        <v>140</v>
      </c>
      <c r="B27" s="14">
        <f>0.5*(LN((1+SIN(D20))/(1-SIN(D20)))-$B$15*LN((1+$B$15*SIN(D20))/(1-$B$15*SIN(D20))))</f>
        <v>0.90142345642088184</v>
      </c>
      <c r="D27" s="8" t="s">
        <v>251</v>
      </c>
      <c r="E27" s="14">
        <f>B24-J8+G5</f>
        <v>6147687.8601952782</v>
      </c>
    </row>
    <row r="28" spans="1:14" x14ac:dyDescent="0.25">
      <c r="A28" s="8" t="s">
        <v>125</v>
      </c>
      <c r="B28" s="14">
        <f>B23/EXP(B27*SIN(B22))</f>
        <v>6152446.9188038185</v>
      </c>
      <c r="D28" s="8" t="s">
        <v>252</v>
      </c>
      <c r="E28" s="14">
        <f>J9-F5</f>
        <v>241876.9817</v>
      </c>
    </row>
    <row r="29" spans="1:14" ht="13.8" x14ac:dyDescent="0.3">
      <c r="A29" s="19" t="s">
        <v>199</v>
      </c>
      <c r="B29" s="14">
        <f>-(D5-D9)*SIN(B22)</f>
        <v>2.2531704869472828</v>
      </c>
      <c r="C29" s="8" t="s">
        <v>253</v>
      </c>
      <c r="D29" s="19" t="s">
        <v>199</v>
      </c>
      <c r="E29" s="25">
        <f>ATAN(E28/E27)</f>
        <v>3.932409973388911E-2</v>
      </c>
      <c r="F29" s="8" t="s">
        <v>262</v>
      </c>
    </row>
    <row r="30" spans="1:14" x14ac:dyDescent="0.25">
      <c r="B30" s="14"/>
      <c r="C30" s="26"/>
      <c r="D30" s="8" t="s">
        <v>125</v>
      </c>
      <c r="E30" s="15">
        <f>SQRT(E27*E27+E28*E28)</f>
        <v>6152444.2704236424</v>
      </c>
    </row>
    <row r="31" spans="1:14" x14ac:dyDescent="0.25">
      <c r="A31" s="1" t="s">
        <v>152</v>
      </c>
      <c r="B31" s="14"/>
      <c r="D31" s="8" t="s">
        <v>140</v>
      </c>
      <c r="E31" s="14">
        <f>LN(B23/E30)/SIN(B22)</f>
        <v>0.90142405314555407</v>
      </c>
    </row>
    <row r="32" spans="1:14" ht="13.8" x14ac:dyDescent="0.3">
      <c r="A32" s="8" t="s">
        <v>204</v>
      </c>
      <c r="B32" s="14">
        <f>B13/SQRT(1-B16*(SIN(D20))^2)</f>
        <v>6389212.2709280495</v>
      </c>
      <c r="D32" s="8" t="s">
        <v>256</v>
      </c>
      <c r="E32" s="14">
        <f>ASIN((EXP(2*E31)-1)/(EXP(2*E31)+1))</f>
        <v>0.79947548534001878</v>
      </c>
    </row>
    <row r="33" spans="1:5" ht="13.8" x14ac:dyDescent="0.3">
      <c r="A33" s="19" t="s">
        <v>154</v>
      </c>
      <c r="B33" s="14">
        <f>B13*(1-B16)/(1-B16*(SIN(D20)^2))^(3/2)</f>
        <v>6368500.05531896</v>
      </c>
      <c r="D33" s="8" t="s">
        <v>254</v>
      </c>
      <c r="E33" s="14">
        <f>0.5*(LN((1+SIN(E32))/(1-SIN(E32)))-$B$15*LN((1+$B$15*SIN(E32))/(1-$B$15*SIN(E32))))-$E$31</f>
        <v>-4.8053247196774285E-3</v>
      </c>
    </row>
    <row r="34" spans="1:5" x14ac:dyDescent="0.25">
      <c r="A34" s="8" t="s">
        <v>155</v>
      </c>
      <c r="B34" s="14">
        <f>SQRT(B32*B33)</f>
        <v>6378847.7565191863</v>
      </c>
      <c r="D34" s="8" t="s">
        <v>255</v>
      </c>
      <c r="E34" s="14">
        <f>1/(1-(SIN(E32))^2)-$B$16/(1-$B$16*(SIN(E32))^2)</f>
        <v>2.0512152103764527</v>
      </c>
    </row>
    <row r="35" spans="1:5" ht="13.8" x14ac:dyDescent="0.3">
      <c r="A35" s="8" t="s">
        <v>156</v>
      </c>
      <c r="B35" s="14">
        <f>F10*(B34/(B34+D10))-1</f>
        <v>-1.0518606184273249E-4</v>
      </c>
      <c r="D35" s="8" t="s">
        <v>257</v>
      </c>
      <c r="E35" s="14">
        <f>ASIN(SIN(E32)-E33/E34)</f>
        <v>0.80284199973791326</v>
      </c>
    </row>
    <row r="36" spans="1:5" x14ac:dyDescent="0.25">
      <c r="B36" s="14"/>
      <c r="D36" s="8" t="s">
        <v>254</v>
      </c>
      <c r="E36" s="14">
        <f>0.5*(LN((1+SIN(E35))/(1-SIN(E35)))-$B$15*LN((1+$B$15*SIN(E35))/(1-$B$15*SIN(E35))))-$E$31</f>
        <v>1.6760118234593335E-5</v>
      </c>
    </row>
    <row r="37" spans="1:5" x14ac:dyDescent="0.25">
      <c r="B37" s="14"/>
      <c r="D37" s="8" t="s">
        <v>255</v>
      </c>
      <c r="E37" s="14">
        <f>1/(1-(SIN(E35))^2)-$B$16/(1-$B$16*(SIN(E35))^2)</f>
        <v>2.0655647969497846</v>
      </c>
    </row>
    <row r="38" spans="1:5" ht="13.8" x14ac:dyDescent="0.3">
      <c r="B38" s="14"/>
      <c r="D38" s="8" t="s">
        <v>258</v>
      </c>
      <c r="E38" s="14">
        <f>ASIN(SIN(E35)-E36/E37)</f>
        <v>0.80283031927372117</v>
      </c>
    </row>
    <row r="39" spans="1:5" x14ac:dyDescent="0.25">
      <c r="B39" s="14"/>
      <c r="D39" s="8" t="s">
        <v>254</v>
      </c>
      <c r="E39" s="14">
        <f>0.5*(LN((1+SIN(E38))/(1-SIN(E38)))-$B$15*LN((1+$B$15*SIN(E38))/(1-$B$15*SIN(E38))))-$E$31</f>
        <v>2.0337209694076819E-10</v>
      </c>
    </row>
    <row r="40" spans="1:5" x14ac:dyDescent="0.25">
      <c r="B40" s="14"/>
      <c r="D40" s="8" t="s">
        <v>255</v>
      </c>
      <c r="E40" s="14">
        <f>1/(1-(SIN(E38))^2)-$B$16/(1-$B$16*(SIN(E38))^2)</f>
        <v>2.0655146691374049</v>
      </c>
    </row>
    <row r="41" spans="1:5" ht="13.8" x14ac:dyDescent="0.3">
      <c r="B41" s="14"/>
      <c r="D41" s="8" t="s">
        <v>259</v>
      </c>
      <c r="E41" s="14">
        <f>ASIN(SIN(E38)-E39/E40)</f>
        <v>0.80283031913198444</v>
      </c>
    </row>
    <row r="42" spans="1:5" x14ac:dyDescent="0.25">
      <c r="B42" s="14"/>
      <c r="D42" s="8" t="s">
        <v>254</v>
      </c>
      <c r="E42" s="14">
        <f>0.5*(LN((1+SIN(E41))/(1-SIN(E41)))-$B$15*LN((1+$B$15*SIN(E41))/(1-$B$15*SIN(E41))))-$E$31</f>
        <v>0</v>
      </c>
    </row>
    <row r="43" spans="1:5" x14ac:dyDescent="0.25">
      <c r="B43" s="14"/>
      <c r="D43" s="8" t="s">
        <v>255</v>
      </c>
      <c r="E43" s="14">
        <f>1/(1-(SIN(E41))^2)-$B$16/(1-$B$16*(SIN(E41))^2)</f>
        <v>2.0655146685291421</v>
      </c>
    </row>
    <row r="44" spans="1:5" ht="13.8" x14ac:dyDescent="0.3">
      <c r="B44" s="14"/>
      <c r="D44" s="8" t="s">
        <v>260</v>
      </c>
      <c r="E44" s="14">
        <f>ASIN(SIN(E41)-E42/E43)</f>
        <v>0.80283031913198444</v>
      </c>
    </row>
    <row r="45" spans="1:5" x14ac:dyDescent="0.25">
      <c r="B45" s="14"/>
      <c r="E45" s="14"/>
    </row>
    <row r="46" spans="1:5" x14ac:dyDescent="0.25">
      <c r="B46" s="14"/>
      <c r="D46" s="1" t="s">
        <v>152</v>
      </c>
      <c r="E46" s="14"/>
    </row>
    <row r="47" spans="1:5" x14ac:dyDescent="0.25">
      <c r="B47" s="14"/>
      <c r="D47" s="8" t="s">
        <v>204</v>
      </c>
      <c r="E47" s="14">
        <f>B13/SQRT(1-B16*(SIN(E44))^2)</f>
        <v>6389212.2798474506</v>
      </c>
    </row>
    <row r="48" spans="1:5" ht="13.8" x14ac:dyDescent="0.3">
      <c r="B48" s="14"/>
      <c r="D48" s="19" t="s">
        <v>154</v>
      </c>
      <c r="E48" s="14">
        <f>B13*(1-B16)/(1-B16*(SIN(E44)^2))^(3/2)</f>
        <v>6368500.081990418</v>
      </c>
    </row>
    <row r="49" spans="2:5" x14ac:dyDescent="0.25">
      <c r="B49" s="14"/>
      <c r="D49" s="8" t="s">
        <v>155</v>
      </c>
      <c r="E49" s="14">
        <f>SQRT(E47*E48)</f>
        <v>6378847.7743290495</v>
      </c>
    </row>
    <row r="50" spans="2:5" x14ac:dyDescent="0.25">
      <c r="B50" s="14"/>
      <c r="D50" s="8" t="s">
        <v>156</v>
      </c>
      <c r="E50" s="14">
        <f>L10*(E49/(E49+J10))-1</f>
        <v>-8.167527441194089E-5</v>
      </c>
    </row>
    <row r="51" spans="2:5" x14ac:dyDescent="0.25">
      <c r="E51" s="14"/>
    </row>
    <row r="52" spans="2:5" x14ac:dyDescent="0.25">
      <c r="E52" s="14"/>
    </row>
    <row r="53" spans="2:5" x14ac:dyDescent="0.25">
      <c r="E53" s="14"/>
    </row>
    <row r="54" spans="2:5" x14ac:dyDescent="0.25">
      <c r="E54" s="14"/>
    </row>
    <row r="55" spans="2:5" x14ac:dyDescent="0.25">
      <c r="E55" s="14"/>
    </row>
    <row r="56" spans="2:5" x14ac:dyDescent="0.25">
      <c r="E56" s="14"/>
    </row>
    <row r="57" spans="2:5" x14ac:dyDescent="0.25">
      <c r="E57" s="14"/>
    </row>
    <row r="58" spans="2:5" x14ac:dyDescent="0.25">
      <c r="E58" s="14"/>
    </row>
    <row r="59" spans="2:5" x14ac:dyDescent="0.25">
      <c r="E59" s="14"/>
    </row>
    <row r="60" spans="2:5" x14ac:dyDescent="0.25">
      <c r="E60" s="14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5"/>
  <sheetViews>
    <sheetView workbookViewId="0"/>
  </sheetViews>
  <sheetFormatPr defaultRowHeight="13.2" x14ac:dyDescent="0.25"/>
  <cols>
    <col min="1" max="1" width="11.77734375" customWidth="1"/>
    <col min="2" max="2" width="22" customWidth="1"/>
    <col min="3" max="3" width="18.6640625" customWidth="1"/>
    <col min="4" max="4" width="21.6640625" customWidth="1"/>
    <col min="5" max="5" width="18.5546875" customWidth="1"/>
    <col min="6" max="6" width="17.33203125" customWidth="1"/>
    <col min="7" max="7" width="15.6640625" customWidth="1"/>
    <col min="8" max="8" width="15.5546875" customWidth="1"/>
    <col min="9" max="9" width="17.5546875" customWidth="1"/>
    <col min="10" max="10" width="16.77734375" customWidth="1"/>
    <col min="12" max="12" width="7.5546875" customWidth="1"/>
    <col min="14" max="14" width="9.5546875" bestFit="1" customWidth="1"/>
    <col min="18" max="18" width="9.5546875" bestFit="1" customWidth="1"/>
    <col min="20" max="20" width="12.109375" customWidth="1"/>
    <col min="22" max="22" width="10.77734375" customWidth="1"/>
    <col min="26" max="26" width="11.33203125" customWidth="1"/>
  </cols>
  <sheetData>
    <row r="1" spans="1:20" x14ac:dyDescent="0.25">
      <c r="A1" s="1" t="s">
        <v>53</v>
      </c>
    </row>
    <row r="2" spans="1:20" x14ac:dyDescent="0.25">
      <c r="G2" s="3"/>
      <c r="L2" s="1" t="s">
        <v>173</v>
      </c>
      <c r="N2" s="1"/>
    </row>
    <row r="3" spans="1:20" x14ac:dyDescent="0.25">
      <c r="A3" s="1" t="s">
        <v>0</v>
      </c>
      <c r="B3" s="4" t="s">
        <v>2</v>
      </c>
      <c r="C3" s="4" t="s">
        <v>6</v>
      </c>
      <c r="D3" s="4" t="s">
        <v>1</v>
      </c>
      <c r="E3" s="4" t="s">
        <v>4</v>
      </c>
      <c r="F3" s="4" t="s">
        <v>5</v>
      </c>
      <c r="G3" s="5"/>
      <c r="H3" s="4"/>
      <c r="M3" s="4" t="s">
        <v>2</v>
      </c>
      <c r="P3" s="4"/>
      <c r="Q3" s="4" t="s">
        <v>6</v>
      </c>
    </row>
    <row r="4" spans="1:20" ht="13.8" x14ac:dyDescent="0.3">
      <c r="B4" s="4" t="s">
        <v>239</v>
      </c>
      <c r="C4" s="4" t="s">
        <v>159</v>
      </c>
      <c r="D4" s="4" t="s">
        <v>3</v>
      </c>
      <c r="E4" s="4" t="s">
        <v>3</v>
      </c>
      <c r="F4" s="4" t="s">
        <v>7</v>
      </c>
      <c r="G4" s="4"/>
      <c r="H4" s="4"/>
      <c r="L4" s="4" t="s">
        <v>174</v>
      </c>
      <c r="M4" s="4" t="s">
        <v>175</v>
      </c>
      <c r="N4" s="4" t="s">
        <v>176</v>
      </c>
      <c r="P4" s="4" t="s">
        <v>174</v>
      </c>
      <c r="Q4" s="4" t="s">
        <v>175</v>
      </c>
      <c r="R4" s="4" t="s">
        <v>176</v>
      </c>
    </row>
    <row r="5" spans="1:20" x14ac:dyDescent="0.25">
      <c r="A5" t="s">
        <v>8</v>
      </c>
      <c r="B5" s="14">
        <v>270</v>
      </c>
      <c r="C5" s="14">
        <v>43.366666666666667</v>
      </c>
      <c r="D5" s="6">
        <v>147218.69422</v>
      </c>
      <c r="E5" s="6">
        <v>3.7299999999999998E-3</v>
      </c>
      <c r="F5" s="2">
        <v>1.0000365284999999</v>
      </c>
      <c r="G5" s="7"/>
      <c r="H5" s="7"/>
      <c r="I5" s="14"/>
      <c r="J5" s="14"/>
      <c r="L5" s="18">
        <f>TRUNC(B5)</f>
        <v>270</v>
      </c>
      <c r="M5" s="18">
        <f>TRUNC((B5-L5)*60)</f>
        <v>0</v>
      </c>
      <c r="N5" s="20">
        <f>(B5-L5-M5/60)*3600</f>
        <v>0</v>
      </c>
      <c r="P5" s="18">
        <f>TRUNC(C5)</f>
        <v>43</v>
      </c>
      <c r="Q5" s="18">
        <f>TRUNC((C5-P5)*60)</f>
        <v>22</v>
      </c>
      <c r="R5" s="20">
        <f>(C5-P5-Q5/60)*3600</f>
        <v>1.7985612998927536E-12</v>
      </c>
      <c r="T5" s="14"/>
    </row>
    <row r="6" spans="1:20" x14ac:dyDescent="0.25">
      <c r="A6" t="s">
        <v>9</v>
      </c>
      <c r="B6" s="14">
        <v>269.37777777777779</v>
      </c>
      <c r="C6" s="14">
        <v>45.706111111111113</v>
      </c>
      <c r="D6" s="6">
        <v>172821.9461</v>
      </c>
      <c r="E6" s="6">
        <v>1.67E-3</v>
      </c>
      <c r="F6" s="2">
        <v>1.0000495682999999</v>
      </c>
      <c r="G6" s="7"/>
      <c r="H6" s="7"/>
      <c r="I6" s="14"/>
      <c r="J6" s="14"/>
      <c r="L6" s="18">
        <f t="shared" ref="L6:L49" si="0">TRUNC(B6)</f>
        <v>269</v>
      </c>
      <c r="M6" s="18">
        <f t="shared" ref="M6:M49" si="1">TRUNC((B6-L6)*60)</f>
        <v>22</v>
      </c>
      <c r="N6" s="20">
        <f t="shared" ref="N6:N49" si="2">(B6-L6-M6/60)*3600</f>
        <v>40.00000000005921</v>
      </c>
      <c r="P6" s="18">
        <f t="shared" ref="P6:P49" si="3">TRUNC(C6)</f>
        <v>45</v>
      </c>
      <c r="Q6" s="18">
        <f t="shared" ref="Q6:Q49" si="4">TRUNC((C6-P6)*60)</f>
        <v>42</v>
      </c>
      <c r="R6" s="20">
        <f t="shared" ref="R6:R49" si="5">(C6-P6-Q6/60)*3600</f>
        <v>22.000000000007436</v>
      </c>
      <c r="T6" s="14"/>
    </row>
    <row r="7" spans="1:20" x14ac:dyDescent="0.25">
      <c r="A7" t="s">
        <v>10</v>
      </c>
      <c r="B7" s="14">
        <v>268.14999999999998</v>
      </c>
      <c r="C7" s="14">
        <v>45.133333333333333</v>
      </c>
      <c r="D7" s="6">
        <v>93149.999989999997</v>
      </c>
      <c r="E7" s="6">
        <v>2.8700000000000002E-3</v>
      </c>
      <c r="F7" s="2">
        <v>1.0000486664999999</v>
      </c>
      <c r="G7" s="7"/>
      <c r="H7" s="7"/>
      <c r="I7" s="14"/>
      <c r="J7" s="14"/>
      <c r="L7" s="18">
        <f t="shared" si="0"/>
        <v>268</v>
      </c>
      <c r="M7" s="18">
        <f t="shared" si="1"/>
        <v>8</v>
      </c>
      <c r="N7" s="20">
        <f t="shared" si="2"/>
        <v>59.999999999918153</v>
      </c>
      <c r="P7" s="18">
        <f t="shared" si="3"/>
        <v>45</v>
      </c>
      <c r="Q7" s="18">
        <f t="shared" si="4"/>
        <v>7</v>
      </c>
      <c r="R7" s="20">
        <f t="shared" si="5"/>
        <v>59.999999999998288</v>
      </c>
      <c r="T7" s="14"/>
    </row>
    <row r="8" spans="1:20" x14ac:dyDescent="0.25">
      <c r="A8" t="s">
        <v>11</v>
      </c>
      <c r="B8" s="14">
        <v>272</v>
      </c>
      <c r="C8" s="14">
        <v>43</v>
      </c>
      <c r="D8" s="6">
        <v>31600</v>
      </c>
      <c r="E8" s="6">
        <v>4600</v>
      </c>
      <c r="F8" s="2">
        <v>1.0000199999999999</v>
      </c>
      <c r="G8" s="7"/>
      <c r="H8" s="7"/>
      <c r="I8" s="14"/>
      <c r="J8" s="14"/>
      <c r="L8" s="18">
        <f t="shared" si="0"/>
        <v>272</v>
      </c>
      <c r="M8" s="18">
        <f t="shared" si="1"/>
        <v>0</v>
      </c>
      <c r="N8" s="20">
        <f t="shared" si="2"/>
        <v>0</v>
      </c>
      <c r="P8" s="18">
        <f t="shared" si="3"/>
        <v>43</v>
      </c>
      <c r="Q8" s="18">
        <f t="shared" si="4"/>
        <v>0</v>
      </c>
      <c r="R8" s="20">
        <f t="shared" si="5"/>
        <v>0</v>
      </c>
      <c r="T8" s="14"/>
    </row>
    <row r="9" spans="1:20" x14ac:dyDescent="0.25">
      <c r="A9" t="s">
        <v>12</v>
      </c>
      <c r="B9" s="14">
        <v>268.20277777777778</v>
      </c>
      <c r="C9" s="14">
        <v>43.481388888888894</v>
      </c>
      <c r="D9" s="6">
        <v>175260.35018000001</v>
      </c>
      <c r="E9" s="6">
        <v>4.7999999999999996E-3</v>
      </c>
      <c r="F9" s="2">
        <v>1.0000382778000001</v>
      </c>
      <c r="G9" s="7"/>
      <c r="H9" s="7"/>
      <c r="I9" s="14"/>
      <c r="J9" s="14"/>
      <c r="L9" s="18">
        <f t="shared" si="0"/>
        <v>268</v>
      </c>
      <c r="M9" s="18">
        <f t="shared" si="1"/>
        <v>12</v>
      </c>
      <c r="N9" s="20">
        <f t="shared" si="2"/>
        <v>10.000000000018151</v>
      </c>
      <c r="P9" s="18">
        <f t="shared" si="3"/>
        <v>43</v>
      </c>
      <c r="Q9" s="18">
        <f t="shared" si="4"/>
        <v>28</v>
      </c>
      <c r="R9" s="20">
        <f t="shared" si="5"/>
        <v>53.000000000018275</v>
      </c>
      <c r="T9" s="14"/>
    </row>
    <row r="10" spans="1:20" x14ac:dyDescent="0.25">
      <c r="A10" t="s">
        <v>18</v>
      </c>
      <c r="B10" s="14">
        <v>271.5</v>
      </c>
      <c r="C10" s="14">
        <v>42.719444444444449</v>
      </c>
      <c r="D10" s="6">
        <v>244754.88931999999</v>
      </c>
      <c r="E10" s="6">
        <v>4.9300000000000004E-3</v>
      </c>
      <c r="F10" s="2">
        <v>1.0000286569000001</v>
      </c>
      <c r="G10" s="7"/>
      <c r="H10" s="7"/>
      <c r="I10" s="14"/>
      <c r="J10" s="14"/>
      <c r="L10" s="18">
        <f t="shared" si="0"/>
        <v>271</v>
      </c>
      <c r="M10" s="18">
        <f t="shared" si="1"/>
        <v>30</v>
      </c>
      <c r="N10" s="20">
        <f t="shared" si="2"/>
        <v>0</v>
      </c>
      <c r="P10" s="18">
        <f t="shared" si="3"/>
        <v>42</v>
      </c>
      <c r="Q10" s="18">
        <f t="shared" si="4"/>
        <v>43</v>
      </c>
      <c r="R10" s="20">
        <f t="shared" si="5"/>
        <v>10.000000000014753</v>
      </c>
      <c r="T10" s="14"/>
    </row>
    <row r="11" spans="1:20" x14ac:dyDescent="0.25">
      <c r="A11" t="s">
        <v>13</v>
      </c>
      <c r="B11" s="14">
        <v>269.29166666666663</v>
      </c>
      <c r="C11" s="14">
        <v>43.6</v>
      </c>
      <c r="D11" s="6">
        <v>199949.19892</v>
      </c>
      <c r="E11" s="6">
        <v>8.6E-3</v>
      </c>
      <c r="F11" s="2">
        <v>1.0000463003</v>
      </c>
      <c r="G11" s="7"/>
      <c r="H11" s="7"/>
      <c r="I11" s="14"/>
      <c r="J11" s="14"/>
      <c r="L11" s="18">
        <f t="shared" si="0"/>
        <v>269</v>
      </c>
      <c r="M11" s="18">
        <f t="shared" si="1"/>
        <v>17</v>
      </c>
      <c r="N11" s="20">
        <f t="shared" si="2"/>
        <v>29.999999999863604</v>
      </c>
      <c r="P11" s="18">
        <f t="shared" si="3"/>
        <v>43</v>
      </c>
      <c r="Q11" s="18">
        <f t="shared" si="4"/>
        <v>36</v>
      </c>
      <c r="R11" s="20">
        <f t="shared" si="5"/>
        <v>5.1958437552457326E-12</v>
      </c>
      <c r="T11" s="14"/>
    </row>
    <row r="12" spans="1:20" x14ac:dyDescent="0.25">
      <c r="A12" t="s">
        <v>14</v>
      </c>
      <c r="B12" s="14">
        <v>271.22500000000002</v>
      </c>
      <c r="C12" s="14">
        <v>41.472222222222221</v>
      </c>
      <c r="D12" s="6">
        <v>263347.72633999999</v>
      </c>
      <c r="E12" s="6">
        <v>7.5700000000000003E-3</v>
      </c>
      <c r="F12" s="2">
        <v>1.0000346417999999</v>
      </c>
      <c r="G12" s="7"/>
      <c r="H12" s="7"/>
      <c r="I12" s="14"/>
      <c r="J12" s="14"/>
      <c r="L12" s="18">
        <f t="shared" si="0"/>
        <v>271</v>
      </c>
      <c r="M12" s="18">
        <f t="shared" si="1"/>
        <v>13</v>
      </c>
      <c r="N12" s="20">
        <f t="shared" si="2"/>
        <v>30.000000000081826</v>
      </c>
      <c r="P12" s="18">
        <f t="shared" si="3"/>
        <v>41</v>
      </c>
      <c r="Q12" s="18">
        <f t="shared" si="4"/>
        <v>28</v>
      </c>
      <c r="R12" s="20">
        <f t="shared" si="5"/>
        <v>19.999999999997129</v>
      </c>
      <c r="T12" s="14"/>
    </row>
    <row r="13" spans="1:20" x14ac:dyDescent="0.25">
      <c r="A13" t="s">
        <v>15</v>
      </c>
      <c r="B13" s="14">
        <v>272.72777777777776</v>
      </c>
      <c r="C13" s="14">
        <v>44.4</v>
      </c>
      <c r="D13" s="6">
        <v>158801.11759000001</v>
      </c>
      <c r="E13" s="6">
        <v>2.31E-3</v>
      </c>
      <c r="F13" s="2">
        <v>1.0000187520999999</v>
      </c>
      <c r="G13" s="7"/>
      <c r="H13" s="7"/>
      <c r="I13" s="14"/>
      <c r="J13" s="14"/>
      <c r="L13" s="18">
        <f t="shared" si="0"/>
        <v>272</v>
      </c>
      <c r="M13" s="18">
        <f t="shared" si="1"/>
        <v>43</v>
      </c>
      <c r="N13" s="20">
        <f t="shared" si="2"/>
        <v>39.999999999936307</v>
      </c>
      <c r="P13" s="18">
        <f t="shared" si="3"/>
        <v>44</v>
      </c>
      <c r="Q13" s="18">
        <f t="shared" si="4"/>
        <v>23</v>
      </c>
      <c r="R13" s="20">
        <f t="shared" si="5"/>
        <v>59.999999999994792</v>
      </c>
      <c r="T13" s="14"/>
    </row>
    <row r="14" spans="1:20" x14ac:dyDescent="0.25">
      <c r="A14" t="s">
        <v>16</v>
      </c>
      <c r="B14" s="14">
        <v>268.08333333333331</v>
      </c>
      <c r="C14" s="14">
        <v>45.883333333333333</v>
      </c>
      <c r="D14" s="6">
        <v>59131.31826</v>
      </c>
      <c r="E14" s="6">
        <v>4.0699999999999998E-3</v>
      </c>
      <c r="F14" s="2">
        <v>1.0000385418</v>
      </c>
      <c r="G14" s="7"/>
      <c r="H14" s="7"/>
      <c r="I14" s="14"/>
      <c r="J14" s="14"/>
      <c r="L14" s="18">
        <f t="shared" si="0"/>
        <v>268</v>
      </c>
      <c r="M14" s="18">
        <f t="shared" si="1"/>
        <v>4</v>
      </c>
      <c r="N14" s="20">
        <f t="shared" si="2"/>
        <v>59.999999999931788</v>
      </c>
      <c r="P14" s="18">
        <f t="shared" si="3"/>
        <v>45</v>
      </c>
      <c r="Q14" s="18">
        <f t="shared" si="4"/>
        <v>53</v>
      </c>
      <c r="R14" s="20">
        <f t="shared" si="5"/>
        <v>-1.5987211554602254E-12</v>
      </c>
      <c r="T14" s="14"/>
    </row>
    <row r="15" spans="1:20" x14ac:dyDescent="0.25">
      <c r="A15" t="s">
        <v>17</v>
      </c>
      <c r="B15" s="14">
        <v>268.10555555555555</v>
      </c>
      <c r="C15" s="14">
        <v>44.408333333333331</v>
      </c>
      <c r="D15" s="6">
        <v>51816.104019999999</v>
      </c>
      <c r="E15" s="6">
        <v>2.96E-3</v>
      </c>
      <c r="F15" s="2">
        <v>1.0000410324</v>
      </c>
      <c r="G15" s="7"/>
      <c r="H15" s="7"/>
      <c r="I15" s="14"/>
      <c r="J15" s="14"/>
      <c r="L15" s="18">
        <f t="shared" si="0"/>
        <v>268</v>
      </c>
      <c r="M15" s="18">
        <f t="shared" si="1"/>
        <v>6</v>
      </c>
      <c r="N15" s="20">
        <f t="shared" si="2"/>
        <v>19.999999999995431</v>
      </c>
      <c r="P15" s="18">
        <f t="shared" si="3"/>
        <v>44</v>
      </c>
      <c r="Q15" s="18">
        <f t="shared" si="4"/>
        <v>24</v>
      </c>
      <c r="R15" s="20">
        <f t="shared" si="5"/>
        <v>29.999999999993101</v>
      </c>
      <c r="T15" s="14"/>
    </row>
    <row r="16" spans="1:20" x14ac:dyDescent="0.25">
      <c r="A16" t="s">
        <v>19</v>
      </c>
      <c r="B16" s="14">
        <v>271.85833333333335</v>
      </c>
      <c r="C16" s="14">
        <v>45.438888888888883</v>
      </c>
      <c r="D16" s="6">
        <v>133502.66829999999</v>
      </c>
      <c r="E16" s="6">
        <v>6.3099999999999996E-3</v>
      </c>
      <c r="F16" s="2">
        <v>1.0000552094999999</v>
      </c>
      <c r="G16" s="7"/>
      <c r="H16" s="7"/>
      <c r="I16" s="14"/>
      <c r="J16" s="14"/>
      <c r="L16" s="18">
        <f t="shared" si="0"/>
        <v>271</v>
      </c>
      <c r="M16" s="18">
        <f t="shared" si="1"/>
        <v>51</v>
      </c>
      <c r="N16" s="20">
        <f t="shared" si="2"/>
        <v>30.000000000054648</v>
      </c>
      <c r="P16" s="18">
        <f t="shared" si="3"/>
        <v>45</v>
      </c>
      <c r="Q16" s="18">
        <f t="shared" si="4"/>
        <v>26</v>
      </c>
      <c r="R16" s="20">
        <f t="shared" si="5"/>
        <v>19.999999999978346</v>
      </c>
      <c r="T16" s="14"/>
    </row>
    <row r="17" spans="1:20" x14ac:dyDescent="0.25">
      <c r="A17" t="s">
        <v>20</v>
      </c>
      <c r="B17" s="14">
        <v>271.5</v>
      </c>
      <c r="C17" s="14">
        <v>42.719444444444449</v>
      </c>
      <c r="D17" s="6">
        <v>244754.88931999999</v>
      </c>
      <c r="E17" s="6">
        <v>4.9300000000000004E-3</v>
      </c>
      <c r="F17" s="2">
        <v>1.0000286569000001</v>
      </c>
      <c r="G17" s="7"/>
      <c r="H17" s="7"/>
      <c r="I17" s="14"/>
      <c r="J17" s="14"/>
      <c r="L17" s="18">
        <f t="shared" si="0"/>
        <v>271</v>
      </c>
      <c r="M17" s="18">
        <f t="shared" si="1"/>
        <v>30</v>
      </c>
      <c r="N17" s="20">
        <f t="shared" si="2"/>
        <v>0</v>
      </c>
      <c r="P17" s="18">
        <f t="shared" si="3"/>
        <v>42</v>
      </c>
      <c r="Q17" s="18">
        <f t="shared" si="4"/>
        <v>43</v>
      </c>
      <c r="R17" s="20">
        <f t="shared" si="5"/>
        <v>10.000000000014753</v>
      </c>
      <c r="T17" s="14"/>
    </row>
    <row r="18" spans="1:20" x14ac:dyDescent="0.25">
      <c r="A18" t="s">
        <v>21</v>
      </c>
      <c r="B18" s="14">
        <v>271.36666666666667</v>
      </c>
      <c r="C18" s="14">
        <v>44.005555555555553</v>
      </c>
      <c r="D18" s="6">
        <v>275844.55330000003</v>
      </c>
      <c r="E18" s="6">
        <v>1.567E-2</v>
      </c>
      <c r="F18" s="2">
        <v>1.0000673004</v>
      </c>
      <c r="G18" s="7"/>
      <c r="H18" s="7"/>
      <c r="I18" s="14"/>
      <c r="J18" s="14"/>
      <c r="L18" s="18">
        <f t="shared" si="0"/>
        <v>271</v>
      </c>
      <c r="M18" s="18">
        <f t="shared" si="1"/>
        <v>22</v>
      </c>
      <c r="N18" s="20">
        <f t="shared" si="2"/>
        <v>2.737809978725636E-11</v>
      </c>
      <c r="P18" s="18">
        <f t="shared" si="3"/>
        <v>44</v>
      </c>
      <c r="Q18" s="18">
        <f t="shared" si="4"/>
        <v>0</v>
      </c>
      <c r="R18" s="20">
        <f t="shared" si="5"/>
        <v>19.999999999990337</v>
      </c>
      <c r="T18" s="14"/>
    </row>
    <row r="19" spans="1:20" x14ac:dyDescent="0.25">
      <c r="A19" t="s">
        <v>22</v>
      </c>
      <c r="B19" s="14">
        <v>269.2</v>
      </c>
      <c r="C19" s="14">
        <v>41.411111111111111</v>
      </c>
      <c r="D19" s="6">
        <v>242316.48409000001</v>
      </c>
      <c r="E19" s="6">
        <v>9.9600000000000001E-3</v>
      </c>
      <c r="F19" s="2">
        <v>1.0000349451999999</v>
      </c>
      <c r="G19" s="7"/>
      <c r="H19" s="7"/>
      <c r="I19" s="14"/>
      <c r="J19" s="14"/>
      <c r="L19" s="18">
        <f t="shared" si="0"/>
        <v>269</v>
      </c>
      <c r="M19" s="18">
        <f t="shared" si="1"/>
        <v>11</v>
      </c>
      <c r="N19" s="20">
        <f t="shared" si="2"/>
        <v>59.999999999959122</v>
      </c>
      <c r="P19" s="18">
        <f t="shared" si="3"/>
        <v>41</v>
      </c>
      <c r="Q19" s="18">
        <f t="shared" si="4"/>
        <v>24</v>
      </c>
      <c r="R19" s="20">
        <f t="shared" si="5"/>
        <v>40.000000000001059</v>
      </c>
      <c r="T19" s="14"/>
    </row>
    <row r="20" spans="1:20" x14ac:dyDescent="0.25">
      <c r="A20" t="s">
        <v>23</v>
      </c>
      <c r="B20" s="14">
        <v>269.8388888888889</v>
      </c>
      <c r="C20" s="14">
        <v>42.538888888888884</v>
      </c>
      <c r="D20" s="6">
        <v>113081.02605</v>
      </c>
      <c r="E20" s="6">
        <v>4.5399999999999998E-3</v>
      </c>
      <c r="F20" s="2">
        <v>1.0000394961000001</v>
      </c>
      <c r="G20" s="7"/>
      <c r="H20" s="7"/>
      <c r="I20" s="14"/>
      <c r="J20" s="14"/>
      <c r="L20" s="18">
        <f t="shared" si="0"/>
        <v>269</v>
      </c>
      <c r="M20" s="18">
        <f t="shared" si="1"/>
        <v>50</v>
      </c>
      <c r="N20" s="20">
        <f t="shared" si="2"/>
        <v>20.000000000049887</v>
      </c>
      <c r="P20" s="18">
        <f t="shared" si="3"/>
        <v>42</v>
      </c>
      <c r="Q20" s="18">
        <f t="shared" si="4"/>
        <v>32</v>
      </c>
      <c r="R20" s="20">
        <f t="shared" si="5"/>
        <v>19.999999999983544</v>
      </c>
      <c r="T20" s="14"/>
    </row>
    <row r="21" spans="1:20" x14ac:dyDescent="0.25">
      <c r="A21" t="s">
        <v>24</v>
      </c>
      <c r="B21" s="14">
        <v>269.74444444444441</v>
      </c>
      <c r="C21" s="14">
        <v>45.43333333333333</v>
      </c>
      <c r="D21" s="6">
        <v>220980.44190999999</v>
      </c>
      <c r="E21" s="6">
        <v>8.5000000000000006E-3</v>
      </c>
      <c r="F21" s="2">
        <v>1.0000677152999999</v>
      </c>
      <c r="G21" s="7"/>
      <c r="H21" s="7"/>
      <c r="I21" s="14"/>
      <c r="J21" s="14"/>
      <c r="L21" s="18">
        <f t="shared" si="0"/>
        <v>269</v>
      </c>
      <c r="M21" s="18">
        <f t="shared" si="1"/>
        <v>44</v>
      </c>
      <c r="N21" s="20">
        <f t="shared" si="2"/>
        <v>39.99999999988195</v>
      </c>
      <c r="P21" s="18">
        <f t="shared" si="3"/>
        <v>45</v>
      </c>
      <c r="Q21" s="18">
        <f t="shared" si="4"/>
        <v>25</v>
      </c>
      <c r="R21" s="20">
        <f t="shared" si="5"/>
        <v>59.999999999987999</v>
      </c>
      <c r="T21" s="14"/>
    </row>
    <row r="22" spans="1:20" x14ac:dyDescent="0.25">
      <c r="A22" t="s">
        <v>25</v>
      </c>
      <c r="B22" s="14">
        <v>269.15570348055553</v>
      </c>
      <c r="C22" s="14">
        <v>44.253335127777781</v>
      </c>
      <c r="D22" s="6">
        <v>27000</v>
      </c>
      <c r="E22" s="6">
        <v>25000</v>
      </c>
      <c r="F22" s="2">
        <v>1.0000353</v>
      </c>
      <c r="G22" s="7"/>
      <c r="H22" s="7"/>
      <c r="I22" s="14"/>
      <c r="J22" s="14"/>
      <c r="L22" s="18">
        <f t="shared" si="0"/>
        <v>269</v>
      </c>
      <c r="M22" s="18">
        <f t="shared" si="1"/>
        <v>9</v>
      </c>
      <c r="N22" s="20">
        <f t="shared" si="2"/>
        <v>20.532529999909478</v>
      </c>
      <c r="P22" s="18">
        <f t="shared" si="3"/>
        <v>44</v>
      </c>
      <c r="Q22" s="18">
        <f t="shared" si="4"/>
        <v>15</v>
      </c>
      <c r="R22" s="20">
        <f t="shared" si="5"/>
        <v>12.006460000011998</v>
      </c>
      <c r="T22" s="14"/>
    </row>
    <row r="23" spans="1:20" x14ac:dyDescent="0.25">
      <c r="A23" t="s">
        <v>27</v>
      </c>
      <c r="B23" s="14">
        <v>271.22500000000002</v>
      </c>
      <c r="C23" s="14">
        <v>41.472222222222221</v>
      </c>
      <c r="D23" s="6">
        <v>263347.72633999999</v>
      </c>
      <c r="E23" s="6">
        <v>7.5700000000000003E-3</v>
      </c>
      <c r="F23" s="2">
        <v>1.0000346417999999</v>
      </c>
      <c r="G23" s="7"/>
      <c r="H23" s="7"/>
      <c r="I23" s="14"/>
      <c r="J23" s="14"/>
      <c r="L23" s="18">
        <f t="shared" si="0"/>
        <v>271</v>
      </c>
      <c r="M23" s="18">
        <f t="shared" si="1"/>
        <v>13</v>
      </c>
      <c r="N23" s="20">
        <f t="shared" si="2"/>
        <v>30.000000000081826</v>
      </c>
      <c r="P23" s="18">
        <f t="shared" si="3"/>
        <v>41</v>
      </c>
      <c r="Q23" s="18">
        <f t="shared" si="4"/>
        <v>28</v>
      </c>
      <c r="R23" s="20">
        <f t="shared" si="5"/>
        <v>19.999999999997129</v>
      </c>
      <c r="T23" s="14"/>
    </row>
    <row r="24" spans="1:20" x14ac:dyDescent="0.25">
      <c r="A24" t="s">
        <v>26</v>
      </c>
      <c r="B24" s="14">
        <v>270</v>
      </c>
      <c r="C24" s="14">
        <v>43.366666666666667</v>
      </c>
      <c r="D24" s="6">
        <v>147218.69422</v>
      </c>
      <c r="E24" s="6">
        <v>3.7299999999999998E-3</v>
      </c>
      <c r="F24" s="2">
        <v>1.0000365284999999</v>
      </c>
      <c r="G24" s="7"/>
      <c r="H24" s="7"/>
      <c r="I24" s="14"/>
      <c r="J24" s="14"/>
      <c r="L24" s="18">
        <f t="shared" si="0"/>
        <v>270</v>
      </c>
      <c r="M24" s="18">
        <f t="shared" si="1"/>
        <v>0</v>
      </c>
      <c r="N24" s="20">
        <f t="shared" si="2"/>
        <v>0</v>
      </c>
      <c r="P24" s="18">
        <f t="shared" si="3"/>
        <v>43</v>
      </c>
      <c r="Q24" s="18">
        <f t="shared" si="4"/>
        <v>22</v>
      </c>
      <c r="R24" s="20">
        <f t="shared" si="5"/>
        <v>1.7985612998927536E-12</v>
      </c>
      <c r="T24" s="14"/>
    </row>
    <row r="25" spans="1:20" x14ac:dyDescent="0.25">
      <c r="A25" t="s">
        <v>28</v>
      </c>
      <c r="B25" s="14">
        <v>272.10555555555555</v>
      </c>
      <c r="C25" s="14">
        <v>42.216666666666669</v>
      </c>
      <c r="D25" s="6">
        <v>185928.37275000001</v>
      </c>
      <c r="E25" s="6">
        <v>9.2000000000000003E-4</v>
      </c>
      <c r="F25" s="2">
        <v>1.0000260648999999</v>
      </c>
      <c r="G25" s="7"/>
      <c r="H25" s="7"/>
      <c r="I25" s="14"/>
      <c r="J25" s="14"/>
      <c r="L25" s="18">
        <f t="shared" si="0"/>
        <v>272</v>
      </c>
      <c r="M25" s="18">
        <f t="shared" si="1"/>
        <v>6</v>
      </c>
      <c r="N25" s="20">
        <f t="shared" si="2"/>
        <v>19.999999999995431</v>
      </c>
      <c r="P25" s="18">
        <f t="shared" si="3"/>
        <v>42</v>
      </c>
      <c r="Q25" s="18">
        <f t="shared" si="4"/>
        <v>13</v>
      </c>
      <c r="R25" s="20">
        <f t="shared" si="5"/>
        <v>6.794564910705958E-12</v>
      </c>
      <c r="T25" s="14"/>
    </row>
    <row r="26" spans="1:20" x14ac:dyDescent="0.25">
      <c r="A26" t="s">
        <v>29</v>
      </c>
      <c r="B26" s="14">
        <v>272.45</v>
      </c>
      <c r="C26" s="14">
        <v>43.266666666666666</v>
      </c>
      <c r="D26" s="6">
        <v>79857.761429999999</v>
      </c>
      <c r="E26" s="6">
        <v>1.2199999999999999E-3</v>
      </c>
      <c r="F26" s="2">
        <v>1.0000233703999999</v>
      </c>
      <c r="G26" s="7"/>
      <c r="H26" s="7"/>
      <c r="I26" s="14"/>
      <c r="J26" s="14"/>
      <c r="L26" s="18">
        <f t="shared" si="0"/>
        <v>272</v>
      </c>
      <c r="M26" s="18">
        <f t="shared" si="1"/>
        <v>26</v>
      </c>
      <c r="N26" s="20">
        <f t="shared" si="2"/>
        <v>59.999999999959016</v>
      </c>
      <c r="P26" s="18">
        <f t="shared" si="3"/>
        <v>43</v>
      </c>
      <c r="Q26" s="18">
        <f t="shared" si="4"/>
        <v>15</v>
      </c>
      <c r="R26" s="20">
        <f t="shared" si="5"/>
        <v>59.999999999996589</v>
      </c>
      <c r="T26" s="14"/>
    </row>
    <row r="27" spans="1:20" x14ac:dyDescent="0.25">
      <c r="A27" t="s">
        <v>30</v>
      </c>
      <c r="B27" s="14">
        <v>268.68333333333334</v>
      </c>
      <c r="C27" s="14">
        <v>43.451111111111111</v>
      </c>
      <c r="D27" s="6">
        <v>130454.65978</v>
      </c>
      <c r="E27" s="6">
        <v>3.2499999999999999E-3</v>
      </c>
      <c r="F27" s="2">
        <v>1.0000319984999999</v>
      </c>
      <c r="G27" s="7"/>
      <c r="H27" s="7"/>
      <c r="I27" s="14"/>
      <c r="J27" s="14"/>
      <c r="L27" s="18">
        <f t="shared" si="0"/>
        <v>268</v>
      </c>
      <c r="M27" s="18">
        <f t="shared" si="1"/>
        <v>41</v>
      </c>
      <c r="N27" s="20">
        <f t="shared" si="2"/>
        <v>1.3589129821411916E-11</v>
      </c>
      <c r="P27" s="18">
        <f t="shared" si="3"/>
        <v>43</v>
      </c>
      <c r="Q27" s="18">
        <f t="shared" si="4"/>
        <v>27</v>
      </c>
      <c r="R27" s="20">
        <f t="shared" si="5"/>
        <v>3.9999999999980274</v>
      </c>
      <c r="T27" s="14"/>
    </row>
    <row r="28" spans="1:20" x14ac:dyDescent="0.25">
      <c r="A28" t="s">
        <v>31</v>
      </c>
      <c r="B28" s="14">
        <v>270.26666666666665</v>
      </c>
      <c r="C28" s="14">
        <v>44.844444444444449</v>
      </c>
      <c r="D28" s="6">
        <v>116129.03230000001</v>
      </c>
      <c r="E28" s="6">
        <v>5.8199999999999997E-3</v>
      </c>
      <c r="F28" s="2">
        <v>1.0000599002999999</v>
      </c>
      <c r="G28" s="7"/>
      <c r="H28" s="7"/>
      <c r="I28" s="14"/>
      <c r="J28" s="14"/>
      <c r="L28" s="18">
        <f t="shared" si="0"/>
        <v>270</v>
      </c>
      <c r="M28" s="18">
        <f t="shared" si="1"/>
        <v>15</v>
      </c>
      <c r="N28" s="20">
        <f t="shared" si="2"/>
        <v>59.99999999994543</v>
      </c>
      <c r="P28" s="18">
        <f t="shared" si="3"/>
        <v>44</v>
      </c>
      <c r="Q28" s="18">
        <f t="shared" si="4"/>
        <v>50</v>
      </c>
      <c r="R28" s="20">
        <f t="shared" si="5"/>
        <v>40.000000000014644</v>
      </c>
      <c r="T28" s="14"/>
    </row>
    <row r="29" spans="1:20" x14ac:dyDescent="0.25">
      <c r="A29" t="s">
        <v>32</v>
      </c>
      <c r="B29" s="14">
        <v>272.45</v>
      </c>
      <c r="C29" s="14">
        <v>43.266666666666666</v>
      </c>
      <c r="D29" s="6">
        <v>79857.761429999999</v>
      </c>
      <c r="E29" s="6">
        <v>1.2199999999999999E-3</v>
      </c>
      <c r="F29" s="2">
        <v>1.0000233703999999</v>
      </c>
      <c r="G29" s="7"/>
      <c r="H29" s="7"/>
      <c r="I29" s="14"/>
      <c r="J29" s="14"/>
      <c r="L29" s="18">
        <f t="shared" si="0"/>
        <v>272</v>
      </c>
      <c r="M29" s="18">
        <f t="shared" si="1"/>
        <v>26</v>
      </c>
      <c r="N29" s="20">
        <f t="shared" si="2"/>
        <v>59.999999999959016</v>
      </c>
      <c r="P29" s="18">
        <f t="shared" si="3"/>
        <v>43</v>
      </c>
      <c r="Q29" s="18">
        <f t="shared" si="4"/>
        <v>15</v>
      </c>
      <c r="R29" s="20">
        <f t="shared" si="5"/>
        <v>59.999999999996589</v>
      </c>
      <c r="T29" s="14"/>
    </row>
    <row r="30" spans="1:20" x14ac:dyDescent="0.25">
      <c r="A30" t="s">
        <v>33</v>
      </c>
      <c r="B30" s="14">
        <v>272.28888888888889</v>
      </c>
      <c r="C30" s="14">
        <v>44.691666666666663</v>
      </c>
      <c r="D30" s="6">
        <v>238658.87943999999</v>
      </c>
      <c r="E30" s="6">
        <v>3.2399999999999998E-3</v>
      </c>
      <c r="F30" s="2">
        <v>1.0000234982</v>
      </c>
      <c r="G30" s="7"/>
      <c r="H30" s="7"/>
      <c r="I30" s="14"/>
      <c r="J30" s="14"/>
      <c r="L30" s="18">
        <f t="shared" si="0"/>
        <v>272</v>
      </c>
      <c r="M30" s="18">
        <f t="shared" si="1"/>
        <v>17</v>
      </c>
      <c r="N30" s="20">
        <f t="shared" si="2"/>
        <v>20.000000000009123</v>
      </c>
      <c r="P30" s="18">
        <f t="shared" si="3"/>
        <v>44</v>
      </c>
      <c r="Q30" s="18">
        <f t="shared" si="4"/>
        <v>41</v>
      </c>
      <c r="R30" s="20">
        <f t="shared" si="5"/>
        <v>29.999999999986304</v>
      </c>
      <c r="T30" s="14"/>
    </row>
    <row r="31" spans="1:20" x14ac:dyDescent="0.25">
      <c r="A31" t="s">
        <v>34</v>
      </c>
      <c r="B31" s="14">
        <v>271.58333333333331</v>
      </c>
      <c r="C31" s="14">
        <v>44.716666666666669</v>
      </c>
      <c r="D31" s="6">
        <v>105461.01210000001</v>
      </c>
      <c r="E31" s="6">
        <v>2.9299999999999999E-3</v>
      </c>
      <c r="F31" s="2">
        <v>1.0000362499</v>
      </c>
      <c r="G31" s="7"/>
      <c r="H31" s="7"/>
      <c r="I31" s="14"/>
      <c r="J31" s="14"/>
      <c r="L31" s="18">
        <f t="shared" si="0"/>
        <v>271</v>
      </c>
      <c r="M31" s="18">
        <f t="shared" si="1"/>
        <v>34</v>
      </c>
      <c r="N31" s="20">
        <f t="shared" si="2"/>
        <v>59.999999999931845</v>
      </c>
      <c r="P31" s="18">
        <f t="shared" si="3"/>
        <v>44</v>
      </c>
      <c r="Q31" s="18">
        <f t="shared" si="4"/>
        <v>43</v>
      </c>
      <c r="R31" s="20">
        <f t="shared" si="5"/>
        <v>6.794564910705958E-12</v>
      </c>
      <c r="T31" s="14"/>
    </row>
    <row r="32" spans="1:20" x14ac:dyDescent="0.25">
      <c r="A32" t="s">
        <v>35</v>
      </c>
      <c r="B32" s="14">
        <v>272.10555555555601</v>
      </c>
      <c r="C32" s="14">
        <v>42.216666666666669</v>
      </c>
      <c r="D32" s="6">
        <v>185928.37275000001</v>
      </c>
      <c r="E32" s="6">
        <v>9.2000000000000003E-4</v>
      </c>
      <c r="F32" s="2">
        <v>1.0000260648999999</v>
      </c>
      <c r="G32" s="7"/>
      <c r="H32" s="7"/>
      <c r="I32" s="14"/>
      <c r="J32" s="14"/>
      <c r="L32" s="18">
        <f t="shared" si="0"/>
        <v>272</v>
      </c>
      <c r="M32" s="18">
        <f t="shared" si="1"/>
        <v>6</v>
      </c>
      <c r="N32" s="20">
        <f t="shared" si="2"/>
        <v>20.000000001632522</v>
      </c>
      <c r="P32" s="18">
        <f t="shared" si="3"/>
        <v>42</v>
      </c>
      <c r="Q32" s="18">
        <f t="shared" si="4"/>
        <v>13</v>
      </c>
      <c r="R32" s="20">
        <f t="shared" si="5"/>
        <v>6.794564910705958E-12</v>
      </c>
      <c r="T32" s="14"/>
    </row>
    <row r="33" spans="1:20" x14ac:dyDescent="0.25">
      <c r="A33" t="s">
        <v>36</v>
      </c>
      <c r="B33" s="14">
        <v>272.09166666666664</v>
      </c>
      <c r="C33" s="14">
        <v>44.397222222222219</v>
      </c>
      <c r="D33" s="6">
        <v>182880.36762</v>
      </c>
      <c r="E33" s="6">
        <v>3.2799999999999999E-3</v>
      </c>
      <c r="F33" s="2">
        <v>1.0000236869000001</v>
      </c>
      <c r="G33" s="7"/>
      <c r="H33" s="7"/>
      <c r="I33" s="14"/>
      <c r="J33" s="14"/>
      <c r="L33" s="18">
        <f t="shared" si="0"/>
        <v>272</v>
      </c>
      <c r="M33" s="18">
        <f t="shared" si="1"/>
        <v>5</v>
      </c>
      <c r="N33" s="20">
        <f t="shared" si="2"/>
        <v>29.999999999904521</v>
      </c>
      <c r="P33" s="18">
        <f t="shared" si="3"/>
        <v>44</v>
      </c>
      <c r="Q33" s="18">
        <f t="shared" si="4"/>
        <v>23</v>
      </c>
      <c r="R33" s="20">
        <f t="shared" si="5"/>
        <v>49.999999999986834</v>
      </c>
      <c r="T33" s="14"/>
    </row>
    <row r="34" spans="1:20" x14ac:dyDescent="0.25">
      <c r="A34" t="s">
        <v>37</v>
      </c>
      <c r="B34" s="14">
        <v>271.5</v>
      </c>
      <c r="C34" s="14">
        <v>42.719444444444449</v>
      </c>
      <c r="D34" s="6">
        <v>244754.88931999999</v>
      </c>
      <c r="E34" s="6">
        <v>4.9300000000000004E-3</v>
      </c>
      <c r="F34" s="2">
        <v>1.0000286569000001</v>
      </c>
      <c r="G34" s="7"/>
      <c r="H34" s="7"/>
      <c r="I34" s="14"/>
      <c r="J34" s="14"/>
      <c r="L34" s="18">
        <f t="shared" si="0"/>
        <v>271</v>
      </c>
      <c r="M34" s="18">
        <f t="shared" si="1"/>
        <v>30</v>
      </c>
      <c r="N34" s="20">
        <f t="shared" si="2"/>
        <v>0</v>
      </c>
      <c r="P34" s="18">
        <f t="shared" si="3"/>
        <v>42</v>
      </c>
      <c r="Q34" s="18">
        <f t="shared" si="4"/>
        <v>43</v>
      </c>
      <c r="R34" s="20">
        <f t="shared" si="5"/>
        <v>10.000000000014753</v>
      </c>
      <c r="T34" s="14"/>
    </row>
    <row r="35" spans="1:20" x14ac:dyDescent="0.25">
      <c r="A35" t="s">
        <v>38</v>
      </c>
      <c r="B35" s="14">
        <v>272.10555555555555</v>
      </c>
      <c r="C35" s="14">
        <v>42.216666666666669</v>
      </c>
      <c r="D35" s="6">
        <v>185928.37275000001</v>
      </c>
      <c r="E35" s="6">
        <v>9.2000000000000003E-4</v>
      </c>
      <c r="F35" s="2">
        <v>1.0000260648999999</v>
      </c>
      <c r="G35" s="7"/>
      <c r="H35" s="7"/>
      <c r="I35" s="14"/>
      <c r="J35" s="14"/>
      <c r="L35" s="18">
        <f t="shared" si="0"/>
        <v>272</v>
      </c>
      <c r="M35" s="18">
        <f t="shared" si="1"/>
        <v>6</v>
      </c>
      <c r="N35" s="20">
        <f t="shared" si="2"/>
        <v>19.999999999995431</v>
      </c>
      <c r="P35" s="18">
        <f t="shared" si="3"/>
        <v>42</v>
      </c>
      <c r="Q35" s="18">
        <f t="shared" si="4"/>
        <v>13</v>
      </c>
      <c r="R35" s="20">
        <f t="shared" si="5"/>
        <v>6.794564910705958E-12</v>
      </c>
      <c r="T35" s="14"/>
    </row>
    <row r="36" spans="1:20" x14ac:dyDescent="0.25">
      <c r="A36" t="s">
        <v>39</v>
      </c>
      <c r="B36" s="14">
        <v>267.36666666666667</v>
      </c>
      <c r="C36" s="14">
        <v>44.661111111111111</v>
      </c>
      <c r="D36" s="6">
        <v>141732.28226000001</v>
      </c>
      <c r="E36" s="6">
        <v>5.8999999999999999E-3</v>
      </c>
      <c r="F36" s="2">
        <v>1.0000433849000001</v>
      </c>
      <c r="G36" s="7"/>
      <c r="H36" s="7"/>
      <c r="I36" s="14"/>
      <c r="J36" s="14"/>
      <c r="L36" s="18">
        <f t="shared" si="0"/>
        <v>267</v>
      </c>
      <c r="M36" s="18">
        <f t="shared" si="1"/>
        <v>22</v>
      </c>
      <c r="N36" s="20">
        <f t="shared" si="2"/>
        <v>2.737809978725636E-11</v>
      </c>
      <c r="P36" s="18">
        <f t="shared" si="3"/>
        <v>44</v>
      </c>
      <c r="Q36" s="18">
        <f t="shared" si="4"/>
        <v>39</v>
      </c>
      <c r="R36" s="20">
        <f t="shared" si="5"/>
        <v>40.000000000001059</v>
      </c>
      <c r="T36" s="14"/>
    </row>
    <row r="37" spans="1:20" x14ac:dyDescent="0.25">
      <c r="A37" t="s">
        <v>40</v>
      </c>
      <c r="B37" s="14">
        <v>269.51111111111112</v>
      </c>
      <c r="C37" s="14">
        <v>44.55555555555555</v>
      </c>
      <c r="D37" s="6">
        <v>227990.85462</v>
      </c>
      <c r="E37" s="6">
        <v>1.0869999999999999E-2</v>
      </c>
      <c r="F37" s="2">
        <v>1.0000649554000001</v>
      </c>
      <c r="G37" s="7"/>
      <c r="H37" s="7"/>
      <c r="I37" s="14"/>
      <c r="J37" s="14"/>
      <c r="L37" s="18">
        <f t="shared" si="0"/>
        <v>269</v>
      </c>
      <c r="M37" s="18">
        <f t="shared" si="1"/>
        <v>30</v>
      </c>
      <c r="N37" s="20">
        <f t="shared" si="2"/>
        <v>40.000000000031832</v>
      </c>
      <c r="P37" s="18">
        <f t="shared" si="3"/>
        <v>44</v>
      </c>
      <c r="Q37" s="18">
        <f t="shared" si="4"/>
        <v>33</v>
      </c>
      <c r="R37" s="20">
        <f t="shared" si="5"/>
        <v>19.999999999979945</v>
      </c>
      <c r="T37" s="14"/>
    </row>
    <row r="38" spans="1:20" x14ac:dyDescent="0.25">
      <c r="A38" t="s">
        <v>41</v>
      </c>
      <c r="B38" s="14">
        <v>272.10555555555555</v>
      </c>
      <c r="C38" s="14">
        <v>42.216666666666669</v>
      </c>
      <c r="D38" s="6">
        <v>185928.37275000001</v>
      </c>
      <c r="E38" s="6">
        <v>9.2000000000000003E-4</v>
      </c>
      <c r="F38" s="2">
        <v>1.0000260648999999</v>
      </c>
      <c r="G38" s="7"/>
      <c r="H38" s="7"/>
      <c r="I38" s="14"/>
      <c r="J38" s="14"/>
      <c r="L38" s="18">
        <f t="shared" si="0"/>
        <v>272</v>
      </c>
      <c r="M38" s="18">
        <f t="shared" si="1"/>
        <v>6</v>
      </c>
      <c r="N38" s="20">
        <f t="shared" si="2"/>
        <v>19.999999999995431</v>
      </c>
      <c r="P38" s="18">
        <f t="shared" si="3"/>
        <v>42</v>
      </c>
      <c r="Q38" s="18">
        <f t="shared" si="4"/>
        <v>13</v>
      </c>
      <c r="R38" s="20">
        <f t="shared" si="5"/>
        <v>6.794564910705958E-12</v>
      </c>
      <c r="T38" s="14"/>
    </row>
    <row r="39" spans="1:20" x14ac:dyDescent="0.25">
      <c r="A39" t="s">
        <v>42</v>
      </c>
      <c r="B39" s="14">
        <v>270.92777777777781</v>
      </c>
      <c r="C39" s="14">
        <v>41.944444444444443</v>
      </c>
      <c r="D39" s="6">
        <v>146304.29259999999</v>
      </c>
      <c r="E39" s="6">
        <v>6.8199999999999997E-3</v>
      </c>
      <c r="F39" s="2">
        <v>1.0000337311</v>
      </c>
      <c r="G39" s="7"/>
      <c r="H39" s="7"/>
      <c r="I39" s="14"/>
      <c r="J39" s="14"/>
      <c r="L39" s="18">
        <f t="shared" si="0"/>
        <v>270</v>
      </c>
      <c r="M39" s="18">
        <f t="shared" si="1"/>
        <v>55</v>
      </c>
      <c r="N39" s="20">
        <f t="shared" si="2"/>
        <v>40.000000000100179</v>
      </c>
      <c r="P39" s="18">
        <f t="shared" si="3"/>
        <v>41</v>
      </c>
      <c r="Q39" s="18">
        <f t="shared" si="4"/>
        <v>56</v>
      </c>
      <c r="R39" s="20">
        <f t="shared" si="5"/>
        <v>39.999999999994259</v>
      </c>
      <c r="T39" s="14"/>
    </row>
    <row r="40" spans="1:20" x14ac:dyDescent="0.25">
      <c r="A40" t="s">
        <v>43</v>
      </c>
      <c r="B40" s="14">
        <v>268.93333333333334</v>
      </c>
      <c r="C40" s="14">
        <v>43.919444444444444</v>
      </c>
      <c r="D40" s="6">
        <v>250546.10133</v>
      </c>
      <c r="E40" s="6">
        <v>2.3400000000000001E-2</v>
      </c>
      <c r="F40" s="2">
        <v>1.0000495975999999</v>
      </c>
      <c r="G40" s="7"/>
      <c r="H40" s="7"/>
      <c r="I40" s="14"/>
      <c r="J40" s="14"/>
      <c r="L40" s="18">
        <f t="shared" si="0"/>
        <v>268</v>
      </c>
      <c r="M40" s="18">
        <f t="shared" si="1"/>
        <v>56</v>
      </c>
      <c r="N40" s="20">
        <f t="shared" si="2"/>
        <v>1.3589129821411916E-11</v>
      </c>
      <c r="P40" s="18">
        <f t="shared" si="3"/>
        <v>43</v>
      </c>
      <c r="Q40" s="18">
        <f t="shared" si="4"/>
        <v>55</v>
      </c>
      <c r="R40" s="20">
        <f t="shared" si="5"/>
        <v>9.9999999999995648</v>
      </c>
      <c r="T40" s="14"/>
    </row>
    <row r="41" spans="1:20" x14ac:dyDescent="0.25">
      <c r="A41" t="s">
        <v>44</v>
      </c>
      <c r="B41" s="14">
        <v>270.10000000000002</v>
      </c>
      <c r="C41" s="14">
        <v>42.81944444444445</v>
      </c>
      <c r="D41" s="6">
        <v>185623.57162999999</v>
      </c>
      <c r="E41" s="6">
        <v>5.0600000000000003E-3</v>
      </c>
      <c r="F41" s="2">
        <v>1.0000373868000001</v>
      </c>
      <c r="G41" s="7"/>
      <c r="H41" s="7"/>
      <c r="I41" s="14"/>
      <c r="J41" s="14"/>
      <c r="L41" s="18">
        <f t="shared" si="0"/>
        <v>270</v>
      </c>
      <c r="M41" s="18">
        <f t="shared" si="1"/>
        <v>6</v>
      </c>
      <c r="N41" s="20">
        <f t="shared" si="2"/>
        <v>8.1834539145120289E-11</v>
      </c>
      <c r="P41" s="18">
        <f t="shared" si="3"/>
        <v>42</v>
      </c>
      <c r="Q41" s="18">
        <f t="shared" si="4"/>
        <v>49</v>
      </c>
      <c r="R41" s="20">
        <f t="shared" si="5"/>
        <v>10.000000000019948</v>
      </c>
      <c r="T41" s="14"/>
    </row>
    <row r="42" spans="1:20" x14ac:dyDescent="0.25">
      <c r="A42" t="s">
        <v>45</v>
      </c>
      <c r="B42" s="14">
        <v>271.39444444444445</v>
      </c>
      <c r="C42" s="14">
        <v>44.036111111111111</v>
      </c>
      <c r="D42" s="6">
        <v>262433.32530000003</v>
      </c>
      <c r="E42" s="6">
        <v>9.6100000000000005E-3</v>
      </c>
      <c r="F42" s="2">
        <v>1.000032144</v>
      </c>
      <c r="G42" s="7"/>
      <c r="H42" s="7"/>
      <c r="I42" s="14"/>
      <c r="J42" s="14"/>
      <c r="L42" s="18">
        <f t="shared" si="0"/>
        <v>271</v>
      </c>
      <c r="M42" s="18">
        <f t="shared" si="1"/>
        <v>23</v>
      </c>
      <c r="N42" s="20">
        <f t="shared" si="2"/>
        <v>40.000000000004455</v>
      </c>
      <c r="P42" s="18">
        <f t="shared" si="3"/>
        <v>44</v>
      </c>
      <c r="Q42" s="18">
        <f t="shared" si="4"/>
        <v>2</v>
      </c>
      <c r="R42" s="20">
        <f t="shared" si="5"/>
        <v>10.000000000001139</v>
      </c>
      <c r="T42" s="14"/>
    </row>
    <row r="43" spans="1:20" x14ac:dyDescent="0.25">
      <c r="A43" t="s">
        <v>46</v>
      </c>
      <c r="B43" s="14">
        <v>272.45</v>
      </c>
      <c r="C43" s="14">
        <v>43.266666666666666</v>
      </c>
      <c r="D43" s="6">
        <v>79857.761429999999</v>
      </c>
      <c r="E43" s="6">
        <v>1.2199999999999999E-3</v>
      </c>
      <c r="F43" s="2">
        <v>1.0000233703999999</v>
      </c>
      <c r="G43" s="7"/>
      <c r="H43" s="7"/>
      <c r="I43" s="14"/>
      <c r="J43" s="14"/>
      <c r="L43" s="18">
        <f t="shared" si="0"/>
        <v>272</v>
      </c>
      <c r="M43" s="18">
        <f t="shared" si="1"/>
        <v>26</v>
      </c>
      <c r="N43" s="20">
        <f t="shared" si="2"/>
        <v>59.999999999959016</v>
      </c>
      <c r="P43" s="18">
        <f t="shared" si="3"/>
        <v>43</v>
      </c>
      <c r="Q43" s="18">
        <f t="shared" si="4"/>
        <v>15</v>
      </c>
      <c r="R43" s="20">
        <f t="shared" si="5"/>
        <v>59.999999999996589</v>
      </c>
      <c r="T43" s="14"/>
    </row>
    <row r="44" spans="1:20" x14ac:dyDescent="0.25">
      <c r="A44" t="s">
        <v>47</v>
      </c>
      <c r="B44" s="14">
        <v>267.36666666666667</v>
      </c>
      <c r="C44" s="14">
        <v>44.036111111111111</v>
      </c>
      <c r="D44" s="6">
        <v>165506.73019999999</v>
      </c>
      <c r="E44" s="6">
        <v>1.026E-2</v>
      </c>
      <c r="F44" s="2">
        <v>1.0000381803</v>
      </c>
      <c r="G44" s="7"/>
      <c r="H44" s="7"/>
      <c r="I44" s="14"/>
      <c r="J44" s="14"/>
      <c r="L44" s="18">
        <f t="shared" si="0"/>
        <v>267</v>
      </c>
      <c r="M44" s="18">
        <f t="shared" si="1"/>
        <v>22</v>
      </c>
      <c r="N44" s="20">
        <f t="shared" si="2"/>
        <v>2.737809978725636E-11</v>
      </c>
      <c r="P44" s="18">
        <f t="shared" si="3"/>
        <v>44</v>
      </c>
      <c r="Q44" s="18">
        <f t="shared" si="4"/>
        <v>2</v>
      </c>
      <c r="R44" s="20">
        <f t="shared" si="5"/>
        <v>10.000000000001139</v>
      </c>
      <c r="T44" s="14"/>
    </row>
    <row r="45" spans="1:20" x14ac:dyDescent="0.25">
      <c r="A45" t="s">
        <v>48</v>
      </c>
      <c r="B45" s="14">
        <v>268.63333333333333</v>
      </c>
      <c r="C45" s="14">
        <v>43.161111111111111</v>
      </c>
      <c r="D45" s="6">
        <v>256946.91375000001</v>
      </c>
      <c r="E45" s="6">
        <v>4.1000000000000003E-3</v>
      </c>
      <c r="F45" s="2">
        <v>1.0000361538</v>
      </c>
      <c r="G45" s="7"/>
      <c r="H45" s="7"/>
      <c r="I45" s="14"/>
      <c r="J45" s="14"/>
      <c r="L45" s="18">
        <f t="shared" si="0"/>
        <v>268</v>
      </c>
      <c r="M45" s="18">
        <f t="shared" si="1"/>
        <v>37</v>
      </c>
      <c r="N45" s="20">
        <f t="shared" si="2"/>
        <v>59.999999999972609</v>
      </c>
      <c r="P45" s="18">
        <f t="shared" si="3"/>
        <v>43</v>
      </c>
      <c r="Q45" s="18">
        <f t="shared" si="4"/>
        <v>9</v>
      </c>
      <c r="R45" s="20">
        <f t="shared" si="5"/>
        <v>40.000000000001158</v>
      </c>
      <c r="T45" s="14"/>
    </row>
    <row r="46" spans="1:20" x14ac:dyDescent="0.25">
      <c r="A46" t="s">
        <v>49</v>
      </c>
      <c r="B46" s="14">
        <v>271.93611111111113</v>
      </c>
      <c r="C46" s="14">
        <v>42.918055555555554</v>
      </c>
      <c r="D46" s="6">
        <v>120091.44145</v>
      </c>
      <c r="E46" s="6">
        <v>2.99E-3</v>
      </c>
      <c r="F46" s="2">
        <v>1.00003738</v>
      </c>
      <c r="G46" s="7"/>
      <c r="H46" s="7"/>
      <c r="I46" s="14"/>
      <c r="J46" s="14"/>
      <c r="L46" s="18">
        <f t="shared" si="0"/>
        <v>271</v>
      </c>
      <c r="M46" s="18">
        <f t="shared" si="1"/>
        <v>56</v>
      </c>
      <c r="N46" s="20">
        <f t="shared" si="2"/>
        <v>10.000000000072706</v>
      </c>
      <c r="P46" s="18">
        <f t="shared" si="3"/>
        <v>42</v>
      </c>
      <c r="Q46" s="18">
        <f t="shared" si="4"/>
        <v>55</v>
      </c>
      <c r="R46" s="20">
        <f t="shared" si="5"/>
        <v>4.9999999999955858</v>
      </c>
      <c r="T46" s="14"/>
    </row>
    <row r="47" spans="1:20" x14ac:dyDescent="0.25">
      <c r="A47" t="s">
        <v>50</v>
      </c>
      <c r="B47" s="14">
        <v>271.77499999999998</v>
      </c>
      <c r="C47" s="14">
        <v>42.56944444444445</v>
      </c>
      <c r="D47" s="6">
        <v>208788.41803</v>
      </c>
      <c r="E47" s="6">
        <v>3.4199999999999999E-3</v>
      </c>
      <c r="F47" s="2">
        <v>1.0000346178999999</v>
      </c>
      <c r="G47" s="7"/>
      <c r="H47" s="7"/>
      <c r="I47" s="14"/>
      <c r="J47" s="14"/>
      <c r="L47" s="18">
        <f t="shared" si="0"/>
        <v>271</v>
      </c>
      <c r="M47" s="18">
        <f t="shared" si="1"/>
        <v>46</v>
      </c>
      <c r="N47" s="20">
        <f t="shared" si="2"/>
        <v>29.999999999917961</v>
      </c>
      <c r="P47" s="18">
        <f t="shared" si="3"/>
        <v>42</v>
      </c>
      <c r="Q47" s="18">
        <f t="shared" si="4"/>
        <v>34</v>
      </c>
      <c r="R47" s="20">
        <f t="shared" si="5"/>
        <v>10.000000000019948</v>
      </c>
      <c r="T47" s="14"/>
    </row>
    <row r="48" spans="1:20" x14ac:dyDescent="0.25">
      <c r="A48" t="s">
        <v>51</v>
      </c>
      <c r="B48" s="14">
        <v>271.18333333333334</v>
      </c>
      <c r="C48" s="14">
        <v>43.420277777777777</v>
      </c>
      <c r="D48" s="6">
        <v>185013.97091</v>
      </c>
      <c r="E48" s="6">
        <v>7.0200000000000002E-3</v>
      </c>
      <c r="F48" s="2">
        <v>1.0000333644999999</v>
      </c>
      <c r="G48" s="7"/>
      <c r="H48" s="7"/>
      <c r="I48" s="14"/>
      <c r="J48" s="14"/>
      <c r="L48" s="18">
        <f t="shared" si="0"/>
        <v>271</v>
      </c>
      <c r="M48" s="18">
        <f t="shared" si="1"/>
        <v>11</v>
      </c>
      <c r="N48" s="20">
        <f t="shared" si="2"/>
        <v>1.368904989362818E-11</v>
      </c>
      <c r="P48" s="18">
        <f t="shared" si="3"/>
        <v>43</v>
      </c>
      <c r="Q48" s="18">
        <f t="shared" si="4"/>
        <v>25</v>
      </c>
      <c r="R48" s="20">
        <f t="shared" si="5"/>
        <v>12.999999999996636</v>
      </c>
      <c r="T48" s="14"/>
    </row>
    <row r="49" spans="1:23" x14ac:dyDescent="0.25">
      <c r="A49" t="s">
        <v>52</v>
      </c>
      <c r="B49" s="14">
        <v>271.5</v>
      </c>
      <c r="C49" s="14">
        <v>42.719444444444449</v>
      </c>
      <c r="D49" s="6">
        <v>244754.88931999999</v>
      </c>
      <c r="E49" s="6">
        <v>4.9300000000000004E-3</v>
      </c>
      <c r="F49" s="2">
        <v>1.0000286569000001</v>
      </c>
      <c r="G49" s="7"/>
      <c r="H49" s="7"/>
      <c r="I49" s="14"/>
      <c r="J49" s="14"/>
      <c r="L49" s="18">
        <f t="shared" si="0"/>
        <v>271</v>
      </c>
      <c r="M49" s="18">
        <f t="shared" si="1"/>
        <v>30</v>
      </c>
      <c r="N49" s="20">
        <f t="shared" si="2"/>
        <v>0</v>
      </c>
      <c r="P49" s="18">
        <f t="shared" si="3"/>
        <v>42</v>
      </c>
      <c r="Q49" s="18">
        <f t="shared" si="4"/>
        <v>43</v>
      </c>
      <c r="R49" s="20">
        <f t="shared" si="5"/>
        <v>10.000000000014753</v>
      </c>
      <c r="T49" s="14"/>
    </row>
    <row r="50" spans="1:23" x14ac:dyDescent="0.25">
      <c r="I50" s="14"/>
      <c r="J50" s="14"/>
      <c r="L50" s="18"/>
      <c r="M50" s="18"/>
      <c r="N50" s="18"/>
    </row>
    <row r="51" spans="1:23" x14ac:dyDescent="0.25">
      <c r="A51" s="1" t="s">
        <v>160</v>
      </c>
      <c r="I51" s="14"/>
      <c r="J51" s="14"/>
      <c r="L51" s="18"/>
      <c r="M51" s="18"/>
      <c r="N51" s="18"/>
    </row>
    <row r="52" spans="1:23" x14ac:dyDescent="0.25">
      <c r="G52" s="3"/>
      <c r="I52" s="14"/>
      <c r="J52" s="14"/>
      <c r="L52" s="1" t="s">
        <v>173</v>
      </c>
      <c r="N52" s="1"/>
    </row>
    <row r="53" spans="1:23" x14ac:dyDescent="0.25">
      <c r="A53" s="1" t="s">
        <v>0</v>
      </c>
      <c r="B53" s="4" t="s">
        <v>2</v>
      </c>
      <c r="C53" s="4" t="s">
        <v>1</v>
      </c>
      <c r="D53" s="4" t="s">
        <v>4</v>
      </c>
      <c r="E53" s="4" t="s">
        <v>54</v>
      </c>
      <c r="F53" s="4" t="s">
        <v>5</v>
      </c>
      <c r="G53" s="5"/>
      <c r="H53" s="5"/>
      <c r="I53" s="14"/>
      <c r="J53" s="14"/>
      <c r="M53" s="4" t="s">
        <v>2</v>
      </c>
      <c r="P53" s="4"/>
      <c r="Q53" s="4" t="s">
        <v>54</v>
      </c>
    </row>
    <row r="54" spans="1:23" ht="13.8" x14ac:dyDescent="0.3">
      <c r="B54" s="4" t="s">
        <v>239</v>
      </c>
      <c r="C54" s="4" t="s">
        <v>3</v>
      </c>
      <c r="D54" s="4" t="s">
        <v>3</v>
      </c>
      <c r="E54" s="4" t="s">
        <v>159</v>
      </c>
      <c r="F54" s="4" t="s">
        <v>55</v>
      </c>
      <c r="G54" s="4"/>
      <c r="H54" s="4"/>
      <c r="I54" s="14"/>
      <c r="J54" s="14"/>
      <c r="L54" s="4" t="s">
        <v>174</v>
      </c>
      <c r="M54" s="4" t="s">
        <v>175</v>
      </c>
      <c r="N54" s="4" t="s">
        <v>176</v>
      </c>
      <c r="P54" s="4" t="s">
        <v>174</v>
      </c>
      <c r="Q54" s="4" t="s">
        <v>175</v>
      </c>
      <c r="R54" s="4" t="s">
        <v>176</v>
      </c>
    </row>
    <row r="55" spans="1:23" x14ac:dyDescent="0.25">
      <c r="A55" t="s">
        <v>56</v>
      </c>
      <c r="B55" s="14">
        <v>268.84722222222223</v>
      </c>
      <c r="C55" s="6">
        <v>228600.45746999999</v>
      </c>
      <c r="D55" s="6">
        <v>148551.48371999999</v>
      </c>
      <c r="E55" s="14">
        <v>46.669648377222217</v>
      </c>
      <c r="F55" s="2">
        <v>1.0000331195000001</v>
      </c>
      <c r="G55" s="7"/>
      <c r="H55" s="7"/>
      <c r="I55" s="14"/>
      <c r="J55" s="14"/>
      <c r="L55" s="18">
        <f>TRUNC(B55)</f>
        <v>268</v>
      </c>
      <c r="M55" s="18">
        <f>TRUNC((B55-L55)*60)</f>
        <v>50</v>
      </c>
      <c r="N55" s="20">
        <f>(B55-L55-M55/60)*3600</f>
        <v>50.000000000022602</v>
      </c>
      <c r="P55" s="18">
        <f>TRUNC(E55)</f>
        <v>46</v>
      </c>
      <c r="Q55" s="18">
        <f>TRUNC((E55-P55)*60)</f>
        <v>40</v>
      </c>
      <c r="R55" s="20">
        <f>(E55-P55-Q55/60)*3600</f>
        <v>10.734157999979876</v>
      </c>
      <c r="T55" s="14"/>
    </row>
    <row r="56" spans="1:23" x14ac:dyDescent="0.25">
      <c r="A56" t="s">
        <v>57</v>
      </c>
      <c r="B56" s="14">
        <v>267.54222222222222</v>
      </c>
      <c r="C56" s="6">
        <v>64008.127619999999</v>
      </c>
      <c r="D56" s="6">
        <v>59445.904289999999</v>
      </c>
      <c r="E56" s="14">
        <v>45.898714865833334</v>
      </c>
      <c r="F56" s="2">
        <v>1.0000383841</v>
      </c>
      <c r="G56" s="7"/>
      <c r="H56" s="7"/>
      <c r="I56" s="14"/>
      <c r="J56" s="14"/>
      <c r="L56" s="18">
        <f t="shared" ref="L56:L81" si="6">TRUNC(B56)</f>
        <v>267</v>
      </c>
      <c r="M56" s="18">
        <f t="shared" ref="M56:M81" si="7">TRUNC((B56-L56)*60)</f>
        <v>32</v>
      </c>
      <c r="N56" s="20">
        <f t="shared" ref="N56:N81" si="8">(B56-L56-M56/60)*3600</f>
        <v>31.999999999998209</v>
      </c>
      <c r="P56" s="18">
        <f t="shared" ref="P56:P81" si="9">TRUNC(E56)</f>
        <v>45</v>
      </c>
      <c r="Q56" s="18">
        <f t="shared" ref="Q56:Q81" si="10">TRUNC((E56-P56)*60)</f>
        <v>53</v>
      </c>
      <c r="R56" s="20">
        <f t="shared" ref="R56:R81" si="11">(E56-P56-Q56/60)*3600</f>
        <v>55.373517000002259</v>
      </c>
      <c r="T56" s="14"/>
    </row>
    <row r="57" spans="1:23" x14ac:dyDescent="0.25">
      <c r="A57" t="s">
        <v>58</v>
      </c>
      <c r="B57" s="14">
        <v>268.70555555555558</v>
      </c>
      <c r="C57" s="6">
        <v>60045.720020000001</v>
      </c>
      <c r="D57" s="6">
        <v>44091.434560000002</v>
      </c>
      <c r="E57" s="14">
        <v>44.977856898611115</v>
      </c>
      <c r="F57" s="2">
        <v>1.0000391126999999</v>
      </c>
      <c r="G57" s="7"/>
      <c r="H57" s="7"/>
      <c r="I57" s="14"/>
      <c r="J57" s="14"/>
      <c r="L57" s="18">
        <f t="shared" si="6"/>
        <v>268</v>
      </c>
      <c r="M57" s="18">
        <f t="shared" si="7"/>
        <v>42</v>
      </c>
      <c r="N57" s="20">
        <f t="shared" si="8"/>
        <v>20.000000000077467</v>
      </c>
      <c r="P57" s="18">
        <f t="shared" si="9"/>
        <v>44</v>
      </c>
      <c r="Q57" s="18">
        <f t="shared" si="10"/>
        <v>58</v>
      </c>
      <c r="R57" s="20">
        <f t="shared" si="11"/>
        <v>40.284835000015249</v>
      </c>
      <c r="T57" s="14"/>
    </row>
    <row r="58" spans="1:23" x14ac:dyDescent="0.25">
      <c r="A58" t="s">
        <v>59</v>
      </c>
      <c r="B58" s="14">
        <v>270.60555555555555</v>
      </c>
      <c r="C58" s="6">
        <v>169164.33812</v>
      </c>
      <c r="D58" s="6">
        <v>111569.61335</v>
      </c>
      <c r="E58" s="14">
        <v>43.462546645833335</v>
      </c>
      <c r="F58" s="2">
        <v>1.0000349799999999</v>
      </c>
      <c r="G58" s="7"/>
      <c r="H58" s="7"/>
      <c r="I58" s="14"/>
      <c r="J58" s="14"/>
      <c r="L58" s="18">
        <f t="shared" si="6"/>
        <v>270</v>
      </c>
      <c r="M58" s="18">
        <f t="shared" si="7"/>
        <v>36</v>
      </c>
      <c r="N58" s="20">
        <f t="shared" si="8"/>
        <v>19.999999999995531</v>
      </c>
      <c r="P58" s="18">
        <f t="shared" si="9"/>
        <v>43</v>
      </c>
      <c r="Q58" s="18">
        <f t="shared" si="10"/>
        <v>27</v>
      </c>
      <c r="R58" s="20">
        <f t="shared" si="11"/>
        <v>45.167925000005724</v>
      </c>
      <c r="T58" s="14"/>
    </row>
    <row r="59" spans="1:23" x14ac:dyDescent="0.25">
      <c r="A59" t="s">
        <v>60</v>
      </c>
      <c r="B59" s="14">
        <v>269.06111111111113</v>
      </c>
      <c r="C59" s="6">
        <v>113690.62738999999</v>
      </c>
      <c r="D59" s="6">
        <v>53703.120110000003</v>
      </c>
      <c r="E59" s="14">
        <v>43.200055605000003</v>
      </c>
      <c r="F59" s="2">
        <v>1.0000349151000001</v>
      </c>
      <c r="G59" s="7"/>
      <c r="H59" s="7"/>
      <c r="I59" s="14"/>
      <c r="J59" s="14"/>
      <c r="L59" s="18">
        <f t="shared" si="6"/>
        <v>269</v>
      </c>
      <c r="M59" s="18">
        <f t="shared" si="7"/>
        <v>3</v>
      </c>
      <c r="N59" s="20">
        <f t="shared" si="8"/>
        <v>40.000000000072752</v>
      </c>
      <c r="P59" s="18">
        <f t="shared" si="9"/>
        <v>43</v>
      </c>
      <c r="Q59" s="18">
        <f t="shared" si="10"/>
        <v>12</v>
      </c>
      <c r="R59" s="20">
        <f t="shared" si="11"/>
        <v>0.20017800001024266</v>
      </c>
      <c r="T59" s="14"/>
      <c r="W59" s="8" t="s">
        <v>179</v>
      </c>
    </row>
    <row r="60" spans="1:23" x14ac:dyDescent="0.25">
      <c r="A60" t="s">
        <v>61</v>
      </c>
      <c r="B60" s="14">
        <v>270.57777777777778</v>
      </c>
      <c r="C60" s="6">
        <v>247193.29438000001</v>
      </c>
      <c r="D60" s="6">
        <v>146591.98957999999</v>
      </c>
      <c r="E60" s="14">
        <v>43.069516037500001</v>
      </c>
      <c r="F60" s="2">
        <v>1.0000384786000001</v>
      </c>
      <c r="G60" s="7"/>
      <c r="H60" s="7"/>
      <c r="I60" s="14"/>
      <c r="J60" s="14"/>
      <c r="L60" s="18">
        <f t="shared" si="6"/>
        <v>270</v>
      </c>
      <c r="M60" s="18">
        <f t="shared" si="7"/>
        <v>34</v>
      </c>
      <c r="N60" s="20">
        <f t="shared" si="8"/>
        <v>40.000000000018247</v>
      </c>
      <c r="P60" s="18">
        <f t="shared" si="9"/>
        <v>43</v>
      </c>
      <c r="Q60" s="18">
        <f t="shared" si="10"/>
        <v>4</v>
      </c>
      <c r="R60" s="20">
        <f t="shared" si="11"/>
        <v>10.257735000005258</v>
      </c>
      <c r="T60" s="14"/>
    </row>
    <row r="61" spans="1:23" x14ac:dyDescent="0.25">
      <c r="A61" t="s">
        <v>62</v>
      </c>
      <c r="B61" s="14">
        <v>268.71111111111111</v>
      </c>
      <c r="C61" s="6">
        <v>120091.44018999999</v>
      </c>
      <c r="D61" s="6">
        <v>91687.923890000005</v>
      </c>
      <c r="E61" s="14">
        <v>44.872281126388891</v>
      </c>
      <c r="F61" s="2">
        <v>1.0000350790000001</v>
      </c>
      <c r="G61" s="7"/>
      <c r="H61" s="7"/>
      <c r="I61" s="14"/>
      <c r="J61" s="14"/>
      <c r="L61" s="18">
        <f t="shared" si="6"/>
        <v>268</v>
      </c>
      <c r="M61" s="18">
        <f t="shared" si="7"/>
        <v>42</v>
      </c>
      <c r="N61" s="20">
        <f t="shared" si="8"/>
        <v>39.999999999991061</v>
      </c>
      <c r="P61" s="18">
        <f t="shared" si="9"/>
        <v>44</v>
      </c>
      <c r="Q61" s="18">
        <f t="shared" si="10"/>
        <v>52</v>
      </c>
      <c r="R61" s="20">
        <f t="shared" si="11"/>
        <v>20.212055000009066</v>
      </c>
      <c r="T61" s="14"/>
    </row>
    <row r="62" spans="1:23" x14ac:dyDescent="0.25">
      <c r="A62" t="s">
        <v>63</v>
      </c>
      <c r="B62" s="14">
        <v>270.1611111111111</v>
      </c>
      <c r="C62" s="6">
        <v>170078.74028999999</v>
      </c>
      <c r="D62" s="6">
        <v>45830.294719999998</v>
      </c>
      <c r="E62" s="14">
        <v>42.637562276944443</v>
      </c>
      <c r="F62" s="2">
        <v>1.0000390486999999</v>
      </c>
      <c r="G62" s="7"/>
      <c r="H62" s="7"/>
      <c r="I62" s="14"/>
      <c r="J62" s="14"/>
      <c r="L62" s="18">
        <f t="shared" si="6"/>
        <v>270</v>
      </c>
      <c r="M62" s="18">
        <f t="shared" si="7"/>
        <v>9</v>
      </c>
      <c r="N62" s="20">
        <f t="shared" si="8"/>
        <v>39.999999999949999</v>
      </c>
      <c r="P62" s="18">
        <f t="shared" si="9"/>
        <v>42</v>
      </c>
      <c r="Q62" s="18">
        <f t="shared" si="10"/>
        <v>38</v>
      </c>
      <c r="R62" s="20">
        <f t="shared" si="11"/>
        <v>15.224196999996131</v>
      </c>
      <c r="T62" s="14"/>
    </row>
    <row r="63" spans="1:23" x14ac:dyDescent="0.25">
      <c r="A63" t="s">
        <v>64</v>
      </c>
      <c r="B63" s="14">
        <v>270.75833333333333</v>
      </c>
      <c r="C63" s="6">
        <v>150876.30179</v>
      </c>
      <c r="D63" s="6">
        <v>79170.779509999993</v>
      </c>
      <c r="E63" s="14">
        <v>43.807000117777775</v>
      </c>
      <c r="F63" s="2">
        <v>1.0000344056999999</v>
      </c>
      <c r="G63" s="7"/>
      <c r="H63" s="7"/>
      <c r="I63" s="14"/>
      <c r="J63" s="14"/>
      <c r="L63" s="18">
        <f t="shared" si="6"/>
        <v>270</v>
      </c>
      <c r="M63" s="18">
        <f t="shared" si="7"/>
        <v>45</v>
      </c>
      <c r="N63" s="20">
        <f t="shared" si="8"/>
        <v>29.999999999972715</v>
      </c>
      <c r="P63" s="18">
        <f t="shared" si="9"/>
        <v>43</v>
      </c>
      <c r="Q63" s="18">
        <f t="shared" si="10"/>
        <v>48</v>
      </c>
      <c r="R63" s="20">
        <f t="shared" si="11"/>
        <v>25.200423999991539</v>
      </c>
      <c r="T63" s="14"/>
    </row>
    <row r="64" spans="1:23" x14ac:dyDescent="0.25">
      <c r="A64" t="s">
        <v>65</v>
      </c>
      <c r="B64" s="14">
        <v>270.1611111111111</v>
      </c>
      <c r="C64" s="6">
        <v>170078.74028999999</v>
      </c>
      <c r="D64" s="6">
        <v>45830.294719999998</v>
      </c>
      <c r="E64" s="14">
        <v>42.637562276944443</v>
      </c>
      <c r="F64" s="2">
        <v>1.0000390486999999</v>
      </c>
      <c r="G64" s="7"/>
      <c r="H64" s="7"/>
      <c r="I64" s="14"/>
      <c r="J64" s="14"/>
      <c r="L64" s="18">
        <f t="shared" si="6"/>
        <v>270</v>
      </c>
      <c r="M64" s="18">
        <f t="shared" si="7"/>
        <v>9</v>
      </c>
      <c r="N64" s="20">
        <f t="shared" si="8"/>
        <v>39.999999999949999</v>
      </c>
      <c r="P64" s="18">
        <f t="shared" si="9"/>
        <v>42</v>
      </c>
      <c r="Q64" s="18">
        <f t="shared" si="10"/>
        <v>38</v>
      </c>
      <c r="R64" s="20">
        <f t="shared" si="11"/>
        <v>15.224196999996131</v>
      </c>
      <c r="T64" s="14"/>
    </row>
    <row r="65" spans="1:20" x14ac:dyDescent="0.25">
      <c r="A65" t="s">
        <v>66</v>
      </c>
      <c r="B65" s="14">
        <v>270.9666666666667</v>
      </c>
      <c r="C65" s="6">
        <v>198425.19701999999</v>
      </c>
      <c r="D65" s="6">
        <v>105279.78290000001</v>
      </c>
      <c r="E65" s="14">
        <v>45.15423710527778</v>
      </c>
      <c r="F65" s="2">
        <v>1.0000627023999999</v>
      </c>
      <c r="G65" s="7"/>
      <c r="H65" s="7"/>
      <c r="I65" s="14"/>
      <c r="J65" s="14"/>
      <c r="L65" s="18">
        <f t="shared" si="6"/>
        <v>270</v>
      </c>
      <c r="M65" s="18">
        <f t="shared" si="7"/>
        <v>58</v>
      </c>
      <c r="N65" s="20">
        <f t="shared" si="8"/>
        <v>1.0911271886016038E-10</v>
      </c>
      <c r="P65" s="18">
        <f t="shared" si="9"/>
        <v>45</v>
      </c>
      <c r="Q65" s="18">
        <f t="shared" si="10"/>
        <v>9</v>
      </c>
      <c r="R65" s="20">
        <f t="shared" si="11"/>
        <v>15.253579000006445</v>
      </c>
      <c r="T65" s="14"/>
    </row>
    <row r="66" spans="1:20" x14ac:dyDescent="0.25">
      <c r="A66" t="s">
        <v>67</v>
      </c>
      <c r="B66" s="14">
        <v>270.23</v>
      </c>
      <c r="C66" s="6">
        <v>74676.149300000005</v>
      </c>
      <c r="D66" s="6">
        <v>55049.266929999998</v>
      </c>
      <c r="E66" s="14">
        <v>44.900904423611109</v>
      </c>
      <c r="F66" s="2">
        <v>1.000053289</v>
      </c>
      <c r="G66" s="7"/>
      <c r="H66" s="7"/>
      <c r="I66" s="14"/>
      <c r="J66" s="14"/>
      <c r="L66" s="18">
        <f t="shared" si="6"/>
        <v>270</v>
      </c>
      <c r="M66" s="18">
        <f t="shared" si="7"/>
        <v>13</v>
      </c>
      <c r="N66" s="20">
        <f t="shared" si="8"/>
        <v>48.000000000065455</v>
      </c>
      <c r="P66" s="18">
        <f t="shared" si="9"/>
        <v>44</v>
      </c>
      <c r="Q66" s="18">
        <f t="shared" si="10"/>
        <v>54</v>
      </c>
      <c r="R66" s="20">
        <f t="shared" si="11"/>
        <v>3.2559249999939421</v>
      </c>
      <c r="T66" s="14"/>
    </row>
    <row r="67" spans="1:20" x14ac:dyDescent="0.25">
      <c r="A67" t="s">
        <v>68</v>
      </c>
      <c r="B67" s="14">
        <v>270.75833333333333</v>
      </c>
      <c r="C67" s="6">
        <v>150876.30179</v>
      </c>
      <c r="D67" s="6">
        <v>79170.779509999993</v>
      </c>
      <c r="E67" s="14">
        <v>43.807000117777775</v>
      </c>
      <c r="F67" s="2">
        <v>1.0000344056999999</v>
      </c>
      <c r="G67" s="7"/>
      <c r="H67" s="7"/>
      <c r="I67" s="14"/>
      <c r="J67" s="14"/>
      <c r="L67" s="18">
        <f t="shared" si="6"/>
        <v>270</v>
      </c>
      <c r="M67" s="18">
        <f t="shared" si="7"/>
        <v>45</v>
      </c>
      <c r="N67" s="20">
        <f t="shared" si="8"/>
        <v>29.999999999972715</v>
      </c>
      <c r="P67" s="18">
        <f t="shared" si="9"/>
        <v>43</v>
      </c>
      <c r="Q67" s="18">
        <f t="shared" si="10"/>
        <v>48</v>
      </c>
      <c r="R67" s="20">
        <f t="shared" si="11"/>
        <v>25.200423999991539</v>
      </c>
      <c r="T67" s="14"/>
    </row>
    <row r="68" spans="1:20" x14ac:dyDescent="0.25">
      <c r="A68" t="s">
        <v>69</v>
      </c>
      <c r="B68" s="14">
        <v>269.35833333333335</v>
      </c>
      <c r="C68" s="6">
        <v>204521.20895</v>
      </c>
      <c r="D68" s="6">
        <v>121923.98613</v>
      </c>
      <c r="E68" s="14">
        <v>44.000073928611108</v>
      </c>
      <c r="F68" s="2">
        <v>1.0000434121999999</v>
      </c>
      <c r="G68" s="7"/>
      <c r="H68" s="7"/>
      <c r="I68" s="14"/>
      <c r="J68" s="14"/>
      <c r="L68" s="18">
        <f t="shared" si="6"/>
        <v>269</v>
      </c>
      <c r="M68" s="18">
        <f t="shared" si="7"/>
        <v>21</v>
      </c>
      <c r="N68" s="20">
        <f t="shared" si="8"/>
        <v>30.000000000054648</v>
      </c>
      <c r="P68" s="18">
        <f t="shared" si="9"/>
        <v>44</v>
      </c>
      <c r="Q68" s="18">
        <f t="shared" si="10"/>
        <v>0</v>
      </c>
      <c r="R68" s="20">
        <f t="shared" si="11"/>
        <v>0.26614299999039304</v>
      </c>
      <c r="T68" s="14"/>
    </row>
    <row r="69" spans="1:20" x14ac:dyDescent="0.25">
      <c r="A69" t="s">
        <v>70</v>
      </c>
      <c r="B69" s="14">
        <v>270.45555555555558</v>
      </c>
      <c r="C69" s="6">
        <v>70104.140090000001</v>
      </c>
      <c r="D69" s="6">
        <v>57588.034630000002</v>
      </c>
      <c r="E69" s="14">
        <v>45.704223770277778</v>
      </c>
      <c r="F69" s="2">
        <v>1.0000686968000001</v>
      </c>
      <c r="G69" s="7"/>
      <c r="H69" s="7"/>
      <c r="I69" s="14"/>
      <c r="J69" s="14"/>
      <c r="L69" s="18">
        <f t="shared" si="6"/>
        <v>270</v>
      </c>
      <c r="M69" s="18">
        <f t="shared" si="7"/>
        <v>27</v>
      </c>
      <c r="N69" s="20">
        <f t="shared" si="8"/>
        <v>20.000000000077268</v>
      </c>
      <c r="P69" s="18">
        <f t="shared" si="9"/>
        <v>45</v>
      </c>
      <c r="Q69" s="18">
        <f t="shared" si="10"/>
        <v>42</v>
      </c>
      <c r="R69" s="20">
        <f t="shared" si="11"/>
        <v>15.205573000001937</v>
      </c>
      <c r="T69" s="14"/>
    </row>
    <row r="70" spans="1:20" x14ac:dyDescent="0.25">
      <c r="A70" t="s">
        <v>71</v>
      </c>
      <c r="B70" s="14">
        <v>267.77222222222224</v>
      </c>
      <c r="C70" s="6">
        <v>167640.33543000001</v>
      </c>
      <c r="D70" s="6">
        <v>86033.087589999996</v>
      </c>
      <c r="E70" s="14">
        <v>44.636148871944442</v>
      </c>
      <c r="F70" s="2">
        <v>1.0000362976999999</v>
      </c>
      <c r="G70" s="7"/>
      <c r="H70" s="7"/>
      <c r="I70" s="14"/>
      <c r="J70" s="14"/>
      <c r="L70" s="18">
        <f t="shared" si="6"/>
        <v>267</v>
      </c>
      <c r="M70" s="18">
        <f t="shared" si="7"/>
        <v>46</v>
      </c>
      <c r="N70" s="20">
        <f t="shared" si="8"/>
        <v>20.00000000006348</v>
      </c>
      <c r="P70" s="18">
        <f t="shared" si="9"/>
        <v>44</v>
      </c>
      <c r="Q70" s="18">
        <f t="shared" si="10"/>
        <v>38</v>
      </c>
      <c r="R70" s="20">
        <f t="shared" si="11"/>
        <v>10.135938999992611</v>
      </c>
      <c r="T70" s="14"/>
    </row>
    <row r="71" spans="1:20" x14ac:dyDescent="0.25">
      <c r="A71" t="s">
        <v>72</v>
      </c>
      <c r="B71" s="14">
        <v>267.77222222222224</v>
      </c>
      <c r="C71" s="6">
        <v>167640.33543000001</v>
      </c>
      <c r="D71" s="6">
        <v>86033.087589999996</v>
      </c>
      <c r="E71" s="14">
        <v>44.636148871944442</v>
      </c>
      <c r="F71" s="2">
        <v>1.0000362976999999</v>
      </c>
      <c r="G71" s="7"/>
      <c r="H71" s="7"/>
      <c r="I71" s="14"/>
      <c r="J71" s="14"/>
      <c r="L71" s="18">
        <f t="shared" si="6"/>
        <v>267</v>
      </c>
      <c r="M71" s="18">
        <f t="shared" si="7"/>
        <v>46</v>
      </c>
      <c r="N71" s="20">
        <f t="shared" si="8"/>
        <v>20.00000000006348</v>
      </c>
      <c r="P71" s="18">
        <f t="shared" si="9"/>
        <v>44</v>
      </c>
      <c r="Q71" s="18">
        <f t="shared" si="10"/>
        <v>38</v>
      </c>
      <c r="R71" s="20">
        <f t="shared" si="11"/>
        <v>10.135938999992611</v>
      </c>
      <c r="T71" s="14"/>
    </row>
    <row r="72" spans="1:20" x14ac:dyDescent="0.25">
      <c r="A72" t="s">
        <v>73</v>
      </c>
      <c r="B72" s="14">
        <v>270.5</v>
      </c>
      <c r="C72" s="6">
        <v>56388.112829999998</v>
      </c>
      <c r="D72" s="6">
        <v>50022.187440000002</v>
      </c>
      <c r="E72" s="14">
        <v>44.416823975277772</v>
      </c>
      <c r="F72" s="2">
        <v>1.0000399360000001</v>
      </c>
      <c r="G72" s="7"/>
      <c r="H72" s="7"/>
      <c r="I72" s="14"/>
      <c r="J72" s="14"/>
      <c r="L72" s="18">
        <f t="shared" si="6"/>
        <v>270</v>
      </c>
      <c r="M72" s="18">
        <f t="shared" si="7"/>
        <v>30</v>
      </c>
      <c r="N72" s="20">
        <f t="shared" si="8"/>
        <v>0</v>
      </c>
      <c r="P72" s="18">
        <f t="shared" si="9"/>
        <v>44</v>
      </c>
      <c r="Q72" s="18">
        <f t="shared" si="10"/>
        <v>25</v>
      </c>
      <c r="R72" s="20">
        <f t="shared" si="11"/>
        <v>0.56631099998007972</v>
      </c>
      <c r="T72" s="14"/>
    </row>
    <row r="73" spans="1:20" x14ac:dyDescent="0.25">
      <c r="A73" t="s">
        <v>74</v>
      </c>
      <c r="B73" s="14">
        <v>269.56944444444446</v>
      </c>
      <c r="C73" s="6">
        <v>202387.60477000001</v>
      </c>
      <c r="D73" s="6">
        <v>134255.42529000001</v>
      </c>
      <c r="E73" s="14">
        <v>43.322312927500001</v>
      </c>
      <c r="F73" s="2">
        <v>1.0000375653</v>
      </c>
      <c r="G73" s="7"/>
      <c r="H73" s="7"/>
      <c r="I73" s="14"/>
      <c r="J73" s="14"/>
      <c r="L73" s="18">
        <f t="shared" si="6"/>
        <v>269</v>
      </c>
      <c r="M73" s="18">
        <f t="shared" si="7"/>
        <v>34</v>
      </c>
      <c r="N73" s="20">
        <f t="shared" si="8"/>
        <v>10.000000000045528</v>
      </c>
      <c r="P73" s="18">
        <f t="shared" si="9"/>
        <v>43</v>
      </c>
      <c r="Q73" s="18">
        <f t="shared" si="10"/>
        <v>19</v>
      </c>
      <c r="R73" s="20">
        <f t="shared" si="11"/>
        <v>20.326539000001898</v>
      </c>
      <c r="T73" s="14"/>
    </row>
    <row r="74" spans="1:20" x14ac:dyDescent="0.25">
      <c r="A74" t="s">
        <v>75</v>
      </c>
      <c r="B74" s="14">
        <v>268.88333333333333</v>
      </c>
      <c r="C74" s="6">
        <v>216713.23358</v>
      </c>
      <c r="D74" s="6">
        <v>120734.16310000001</v>
      </c>
      <c r="E74" s="14">
        <v>45.900099131388885</v>
      </c>
      <c r="F74" s="2">
        <v>1.0000573461</v>
      </c>
      <c r="G74" s="7"/>
      <c r="H74" s="7"/>
      <c r="I74" s="14"/>
      <c r="J74" s="14"/>
      <c r="L74" s="18">
        <f t="shared" si="6"/>
        <v>268</v>
      </c>
      <c r="M74" s="18">
        <f t="shared" si="7"/>
        <v>52</v>
      </c>
      <c r="N74" s="20">
        <f t="shared" si="8"/>
        <v>59.999999999972609</v>
      </c>
      <c r="P74" s="18">
        <f t="shared" si="9"/>
        <v>45</v>
      </c>
      <c r="Q74" s="18">
        <f t="shared" si="10"/>
        <v>54</v>
      </c>
      <c r="R74" s="20">
        <f t="shared" si="11"/>
        <v>0.35687299998463651</v>
      </c>
      <c r="T74" s="14"/>
    </row>
    <row r="75" spans="1:20" x14ac:dyDescent="0.25">
      <c r="A75" t="s">
        <v>76</v>
      </c>
      <c r="B75" s="14">
        <v>269.51666666666665</v>
      </c>
      <c r="C75" s="6">
        <v>187147.57436</v>
      </c>
      <c r="D75" s="6">
        <v>107746.7522</v>
      </c>
      <c r="E75" s="14">
        <v>45.177822085833334</v>
      </c>
      <c r="F75" s="2">
        <v>1.0000597566</v>
      </c>
      <c r="G75" s="7"/>
      <c r="H75" s="7"/>
      <c r="I75" s="14"/>
      <c r="J75" s="14"/>
      <c r="L75" s="18">
        <f t="shared" si="6"/>
        <v>269</v>
      </c>
      <c r="M75" s="18">
        <f t="shared" si="7"/>
        <v>30</v>
      </c>
      <c r="N75" s="20">
        <f t="shared" si="8"/>
        <v>59.99999999994543</v>
      </c>
      <c r="P75" s="18">
        <f t="shared" si="9"/>
        <v>45</v>
      </c>
      <c r="Q75" s="18">
        <f t="shared" si="10"/>
        <v>10</v>
      </c>
      <c r="R75" s="20">
        <f t="shared" si="11"/>
        <v>40.159509000002949</v>
      </c>
      <c r="T75" s="14"/>
    </row>
    <row r="76" spans="1:20" x14ac:dyDescent="0.25">
      <c r="A76" t="s">
        <v>77</v>
      </c>
      <c r="B76" s="14">
        <v>269.2166666666667</v>
      </c>
      <c r="C76" s="6">
        <v>222504.44510000001</v>
      </c>
      <c r="D76" s="6">
        <v>47532.0602</v>
      </c>
      <c r="E76" s="14">
        <v>43.575032939722227</v>
      </c>
      <c r="F76" s="2">
        <v>1.0000408158</v>
      </c>
      <c r="G76" s="7"/>
      <c r="H76" s="7"/>
      <c r="I76" s="14"/>
      <c r="J76" s="14"/>
      <c r="L76" s="18">
        <f t="shared" si="6"/>
        <v>269</v>
      </c>
      <c r="M76" s="18">
        <f t="shared" si="7"/>
        <v>13</v>
      </c>
      <c r="N76" s="20">
        <f t="shared" si="8"/>
        <v>1.0911271886016038E-10</v>
      </c>
      <c r="P76" s="18">
        <f t="shared" si="9"/>
        <v>43</v>
      </c>
      <c r="Q76" s="18">
        <f t="shared" si="10"/>
        <v>34</v>
      </c>
      <c r="R76" s="20">
        <f t="shared" si="11"/>
        <v>30.118583000018528</v>
      </c>
      <c r="T76" s="14"/>
    </row>
    <row r="77" spans="1:20" x14ac:dyDescent="0.25">
      <c r="A77" t="s">
        <v>78</v>
      </c>
      <c r="B77" s="14">
        <v>270.51111111111112</v>
      </c>
      <c r="C77" s="6">
        <v>134417.06891</v>
      </c>
      <c r="D77" s="6">
        <v>50337.10916</v>
      </c>
      <c r="E77" s="14">
        <v>46.077844090555558</v>
      </c>
      <c r="F77" s="2">
        <v>1.0000730142000001</v>
      </c>
      <c r="G77" s="7"/>
      <c r="H77" s="7"/>
      <c r="I77" s="14"/>
      <c r="J77" s="14"/>
      <c r="L77" s="18">
        <f t="shared" si="6"/>
        <v>270</v>
      </c>
      <c r="M77" s="18">
        <f t="shared" si="7"/>
        <v>30</v>
      </c>
      <c r="N77" s="20">
        <f t="shared" si="8"/>
        <v>40.000000000031832</v>
      </c>
      <c r="P77" s="18">
        <f t="shared" si="9"/>
        <v>46</v>
      </c>
      <c r="Q77" s="18">
        <f t="shared" si="10"/>
        <v>4</v>
      </c>
      <c r="R77" s="20">
        <f t="shared" si="11"/>
        <v>40.238726000010274</v>
      </c>
      <c r="T77" s="14"/>
    </row>
    <row r="78" spans="1:20" x14ac:dyDescent="0.25">
      <c r="A78" t="s">
        <v>79</v>
      </c>
      <c r="B78" s="14">
        <v>271.45833333333331</v>
      </c>
      <c r="C78" s="6">
        <v>232562.8651</v>
      </c>
      <c r="D78" s="6">
        <v>111088.22244</v>
      </c>
      <c r="E78" s="14">
        <v>42.669462096944443</v>
      </c>
      <c r="F78" s="2">
        <v>1.0000367191999999</v>
      </c>
      <c r="G78" s="7"/>
      <c r="H78" s="7"/>
      <c r="I78" s="14"/>
      <c r="J78" s="14"/>
      <c r="L78" s="18">
        <f t="shared" si="6"/>
        <v>271</v>
      </c>
      <c r="M78" s="18">
        <f t="shared" si="7"/>
        <v>27</v>
      </c>
      <c r="N78" s="20">
        <f t="shared" si="8"/>
        <v>29.999999999931749</v>
      </c>
      <c r="P78" s="18">
        <f t="shared" si="9"/>
        <v>42</v>
      </c>
      <c r="Q78" s="18">
        <f t="shared" si="10"/>
        <v>40</v>
      </c>
      <c r="R78" s="20">
        <f t="shared" si="11"/>
        <v>10.063548999994643</v>
      </c>
      <c r="T78" s="14"/>
    </row>
    <row r="79" spans="1:20" x14ac:dyDescent="0.25">
      <c r="A79" t="s">
        <v>80</v>
      </c>
      <c r="B79" s="14">
        <v>268.2166666666667</v>
      </c>
      <c r="C79" s="6">
        <v>234086.86817</v>
      </c>
      <c r="D79" s="6">
        <v>188358.60574999999</v>
      </c>
      <c r="E79" s="14">
        <v>45.961219833333338</v>
      </c>
      <c r="F79" s="2">
        <v>1.0000475376</v>
      </c>
      <c r="G79" s="7"/>
      <c r="H79" s="7"/>
      <c r="I79" s="14"/>
      <c r="J79" s="14"/>
      <c r="L79" s="18">
        <f t="shared" si="6"/>
        <v>268</v>
      </c>
      <c r="M79" s="18">
        <f t="shared" si="7"/>
        <v>13</v>
      </c>
      <c r="N79" s="20">
        <f t="shared" si="8"/>
        <v>1.0911271886016038E-10</v>
      </c>
      <c r="P79" s="18">
        <f t="shared" si="9"/>
        <v>45</v>
      </c>
      <c r="Q79" s="18">
        <f t="shared" si="10"/>
        <v>57</v>
      </c>
      <c r="R79" s="20">
        <f t="shared" si="11"/>
        <v>40.391400000017526</v>
      </c>
      <c r="T79" s="14"/>
    </row>
    <row r="80" spans="1:20" x14ac:dyDescent="0.25">
      <c r="A80" t="s">
        <v>81</v>
      </c>
      <c r="B80" s="14">
        <v>270.75833333333333</v>
      </c>
      <c r="C80" s="6">
        <v>120091.4402</v>
      </c>
      <c r="D80" s="6">
        <v>45069.758730000001</v>
      </c>
      <c r="E80" s="14">
        <v>44.113944045833335</v>
      </c>
      <c r="F80" s="2">
        <v>1.0000392095999999</v>
      </c>
      <c r="G80" s="7"/>
      <c r="H80" s="7"/>
      <c r="I80" s="14"/>
      <c r="J80" s="14"/>
      <c r="L80" s="18">
        <f t="shared" si="6"/>
        <v>270</v>
      </c>
      <c r="M80" s="18">
        <f t="shared" si="7"/>
        <v>45</v>
      </c>
      <c r="N80" s="20">
        <f t="shared" si="8"/>
        <v>29.999999999972715</v>
      </c>
      <c r="P80" s="18">
        <f t="shared" si="9"/>
        <v>44</v>
      </c>
      <c r="Q80" s="18">
        <f t="shared" si="10"/>
        <v>6</v>
      </c>
      <c r="R80" s="20">
        <f t="shared" si="11"/>
        <v>50.198565000007399</v>
      </c>
      <c r="T80" s="14"/>
    </row>
    <row r="81" spans="1:26" x14ac:dyDescent="0.25">
      <c r="A81" t="s">
        <v>82</v>
      </c>
      <c r="B81" s="14">
        <v>270</v>
      </c>
      <c r="C81" s="6">
        <v>208483.61726999999</v>
      </c>
      <c r="D81" s="6">
        <v>134589.75399999999</v>
      </c>
      <c r="E81" s="14">
        <v>44.362595469444443</v>
      </c>
      <c r="F81" s="2">
        <v>1.0000421209000001</v>
      </c>
      <c r="G81" s="7"/>
      <c r="H81" s="7"/>
      <c r="I81" s="14"/>
      <c r="J81" s="14"/>
      <c r="L81" s="18">
        <f t="shared" si="6"/>
        <v>270</v>
      </c>
      <c r="M81" s="18">
        <f t="shared" si="7"/>
        <v>0</v>
      </c>
      <c r="N81" s="20">
        <f t="shared" si="8"/>
        <v>0</v>
      </c>
      <c r="P81" s="18">
        <f t="shared" si="9"/>
        <v>44</v>
      </c>
      <c r="Q81" s="18">
        <f t="shared" si="10"/>
        <v>21</v>
      </c>
      <c r="R81" s="20">
        <f t="shared" si="11"/>
        <v>45.343689999995227</v>
      </c>
      <c r="T81" s="14"/>
    </row>
    <row r="83" spans="1:26" x14ac:dyDescent="0.25">
      <c r="A83" s="1" t="s">
        <v>165</v>
      </c>
    </row>
    <row r="84" spans="1:26" x14ac:dyDescent="0.25">
      <c r="L84" s="1" t="s">
        <v>173</v>
      </c>
    </row>
    <row r="85" spans="1:26" x14ac:dyDescent="0.25">
      <c r="A85" s="1" t="s">
        <v>161</v>
      </c>
      <c r="B85" s="4" t="s">
        <v>166</v>
      </c>
      <c r="C85" s="4" t="s">
        <v>166</v>
      </c>
      <c r="D85" s="4" t="s">
        <v>2</v>
      </c>
      <c r="E85" s="4" t="s">
        <v>166</v>
      </c>
      <c r="F85" s="4" t="s">
        <v>1</v>
      </c>
      <c r="G85" s="4" t="s">
        <v>4</v>
      </c>
      <c r="M85" s="4" t="s">
        <v>177</v>
      </c>
      <c r="P85" s="4"/>
      <c r="Q85" s="4" t="s">
        <v>178</v>
      </c>
      <c r="T85" s="4" t="s">
        <v>180</v>
      </c>
      <c r="W85" s="4"/>
      <c r="X85" s="4" t="s">
        <v>181</v>
      </c>
    </row>
    <row r="86" spans="1:26" ht="13.8" x14ac:dyDescent="0.3">
      <c r="B86" s="4" t="s">
        <v>167</v>
      </c>
      <c r="C86" s="4" t="s">
        <v>168</v>
      </c>
      <c r="D86" s="4" t="s">
        <v>239</v>
      </c>
      <c r="E86" s="4" t="s">
        <v>169</v>
      </c>
      <c r="F86" s="4" t="s">
        <v>3</v>
      </c>
      <c r="G86" s="4" t="s">
        <v>3</v>
      </c>
      <c r="L86" s="4" t="s">
        <v>174</v>
      </c>
      <c r="M86" s="4" t="s">
        <v>175</v>
      </c>
      <c r="N86" s="4" t="s">
        <v>176</v>
      </c>
      <c r="P86" s="4" t="s">
        <v>174</v>
      </c>
      <c r="Q86" s="4" t="s">
        <v>175</v>
      </c>
      <c r="R86" s="4" t="s">
        <v>176</v>
      </c>
      <c r="T86" s="4" t="s">
        <v>174</v>
      </c>
      <c r="U86" s="4" t="s">
        <v>175</v>
      </c>
      <c r="V86" s="4" t="s">
        <v>176</v>
      </c>
      <c r="X86" s="4" t="s">
        <v>174</v>
      </c>
      <c r="Y86" s="4" t="s">
        <v>175</v>
      </c>
      <c r="Z86" s="4" t="s">
        <v>176</v>
      </c>
    </row>
    <row r="87" spans="1:26" x14ac:dyDescent="0.25">
      <c r="A87" s="8" t="s">
        <v>162</v>
      </c>
      <c r="B87" s="14">
        <f>46+46/60</f>
        <v>46.766666666666666</v>
      </c>
      <c r="C87" s="14">
        <f>45+34/60</f>
        <v>45.56666666666667</v>
      </c>
      <c r="D87" s="14">
        <f>270</f>
        <v>270</v>
      </c>
      <c r="E87" s="14">
        <f>45+10/60</f>
        <v>45.166666666666664</v>
      </c>
      <c r="F87" s="6">
        <f>600000</f>
        <v>600000</v>
      </c>
      <c r="G87" s="6">
        <f>0</f>
        <v>0</v>
      </c>
      <c r="L87" s="18">
        <f>TRUNC(B87)</f>
        <v>46</v>
      </c>
      <c r="M87" s="18">
        <f>TRUNC((B87-L87)*60)</f>
        <v>45</v>
      </c>
      <c r="N87" s="20">
        <f>(B87-L87-M87/60)*3600</f>
        <v>59.999999999996589</v>
      </c>
      <c r="P87" s="18">
        <f>TRUNC(C87)</f>
        <v>45</v>
      </c>
      <c r="Q87" s="18">
        <f>TRUNC((C87-P87)*60)</f>
        <v>34</v>
      </c>
      <c r="R87" s="20">
        <f>(C87-P87-Q87/60)*3600</f>
        <v>1.1990408665951691E-11</v>
      </c>
      <c r="T87" s="18">
        <f>TRUNC(D87)</f>
        <v>270</v>
      </c>
      <c r="U87" s="18">
        <f>TRUNC((D87-T87)*60)</f>
        <v>0</v>
      </c>
      <c r="V87" s="20">
        <f>(D87-T87-U87/60)*3600</f>
        <v>0</v>
      </c>
      <c r="X87" s="18">
        <f>TRUNC(E87)</f>
        <v>45</v>
      </c>
      <c r="Y87" s="18">
        <f>TRUNC((E87-X87)*60)</f>
        <v>9</v>
      </c>
      <c r="Z87" s="20">
        <f>(E87-X87-Y87/60)*3600</f>
        <v>59.999999999991495</v>
      </c>
    </row>
    <row r="88" spans="1:26" x14ac:dyDescent="0.25">
      <c r="A88" s="8" t="s">
        <v>163</v>
      </c>
      <c r="B88" s="14">
        <f>45+30/60</f>
        <v>45.5</v>
      </c>
      <c r="C88" s="15">
        <f>44+15/60</f>
        <v>44.25</v>
      </c>
      <c r="D88" s="14">
        <f>270</f>
        <v>270</v>
      </c>
      <c r="E88" s="14">
        <f>43+50/60</f>
        <v>43.833333333333336</v>
      </c>
      <c r="F88" s="6">
        <f t="shared" ref="F88:F89" si="12">600000</f>
        <v>600000</v>
      </c>
      <c r="G88" s="6">
        <f>0</f>
        <v>0</v>
      </c>
      <c r="L88" s="18">
        <f t="shared" ref="L88:L89" si="13">TRUNC(B88)</f>
        <v>45</v>
      </c>
      <c r="M88" s="18">
        <f t="shared" ref="M88:M89" si="14">TRUNC((B88-L88)*60)</f>
        <v>30</v>
      </c>
      <c r="N88" s="20">
        <f t="shared" ref="N88:N89" si="15">(B88-L88-M88/60)*3600</f>
        <v>0</v>
      </c>
      <c r="P88" s="18">
        <f t="shared" ref="P88:P89" si="16">TRUNC(C88)</f>
        <v>44</v>
      </c>
      <c r="Q88" s="18">
        <f t="shared" ref="Q88:Q89" si="17">TRUNC((C88-P88)*60)</f>
        <v>15</v>
      </c>
      <c r="R88" s="20">
        <f t="shared" ref="R88:R89" si="18">(C88-P88-Q88/60)*3600</f>
        <v>0</v>
      </c>
      <c r="T88" s="18">
        <f t="shared" ref="T88:T89" si="19">TRUNC(D88)</f>
        <v>270</v>
      </c>
      <c r="U88" s="18">
        <f t="shared" ref="U88:U89" si="20">TRUNC((D88-T88)*60)</f>
        <v>0</v>
      </c>
      <c r="V88" s="20">
        <f t="shared" ref="V88:V89" si="21">(D88-T88-U88/60)*3600</f>
        <v>0</v>
      </c>
      <c r="X88" s="18">
        <f t="shared" ref="X88:X89" si="22">TRUNC(E88)</f>
        <v>43</v>
      </c>
      <c r="Y88" s="18">
        <f t="shared" ref="Y88:Y89" si="23">TRUNC((E88-X88)*60)</f>
        <v>50</v>
      </c>
      <c r="Z88" s="20">
        <f t="shared" ref="Z88:Z89" si="24">(E88-X88-Y88/60)*3600</f>
        <v>8.3932860661661834E-12</v>
      </c>
    </row>
    <row r="89" spans="1:26" x14ac:dyDescent="0.25">
      <c r="A89" s="8" t="s">
        <v>164</v>
      </c>
      <c r="B89" s="14">
        <f>44+4/60</f>
        <v>44.06666666666667</v>
      </c>
      <c r="C89" s="14">
        <f>42+44/60</f>
        <v>42.733333333333334</v>
      </c>
      <c r="D89" s="14">
        <f>270</f>
        <v>270</v>
      </c>
      <c r="E89" s="14">
        <f>42</f>
        <v>42</v>
      </c>
      <c r="F89" s="6">
        <f t="shared" si="12"/>
        <v>600000</v>
      </c>
      <c r="G89" s="6">
        <f>0</f>
        <v>0</v>
      </c>
      <c r="L89" s="18">
        <f t="shared" si="13"/>
        <v>44</v>
      </c>
      <c r="M89" s="18">
        <f t="shared" si="14"/>
        <v>4</v>
      </c>
      <c r="N89" s="20">
        <f t="shared" si="15"/>
        <v>1.1940448629843559E-11</v>
      </c>
      <c r="P89" s="18">
        <f t="shared" si="16"/>
        <v>42</v>
      </c>
      <c r="Q89" s="18">
        <f t="shared" si="17"/>
        <v>44</v>
      </c>
      <c r="R89" s="20">
        <f t="shared" si="18"/>
        <v>3.5971225997855072E-12</v>
      </c>
      <c r="T89" s="18">
        <f t="shared" si="19"/>
        <v>270</v>
      </c>
      <c r="U89" s="18">
        <f t="shared" si="20"/>
        <v>0</v>
      </c>
      <c r="V89" s="20">
        <f t="shared" si="21"/>
        <v>0</v>
      </c>
      <c r="X89" s="18">
        <f t="shared" si="22"/>
        <v>42</v>
      </c>
      <c r="Y89" s="18">
        <f t="shared" si="23"/>
        <v>0</v>
      </c>
      <c r="Z89" s="20">
        <f t="shared" si="24"/>
        <v>0</v>
      </c>
    </row>
    <row r="91" spans="1:26" x14ac:dyDescent="0.25">
      <c r="A91" s="1" t="s">
        <v>170</v>
      </c>
    </row>
    <row r="92" spans="1:26" x14ac:dyDescent="0.25">
      <c r="L92" s="1" t="s">
        <v>173</v>
      </c>
      <c r="N92" s="1"/>
    </row>
    <row r="93" spans="1:26" x14ac:dyDescent="0.25">
      <c r="B93" s="4" t="s">
        <v>2</v>
      </c>
      <c r="C93" s="4" t="s">
        <v>6</v>
      </c>
      <c r="D93" s="4" t="s">
        <v>1</v>
      </c>
      <c r="E93" s="4" t="s">
        <v>4</v>
      </c>
      <c r="F93" s="4" t="s">
        <v>5</v>
      </c>
      <c r="M93" s="4" t="s">
        <v>2</v>
      </c>
      <c r="P93" s="4"/>
      <c r="Q93" s="4" t="s">
        <v>6</v>
      </c>
    </row>
    <row r="94" spans="1:26" ht="13.8" x14ac:dyDescent="0.3">
      <c r="B94" s="4" t="s">
        <v>158</v>
      </c>
      <c r="C94" s="4" t="s">
        <v>159</v>
      </c>
      <c r="D94" s="4" t="s">
        <v>3</v>
      </c>
      <c r="E94" s="4" t="s">
        <v>3</v>
      </c>
      <c r="F94" s="4" t="s">
        <v>7</v>
      </c>
      <c r="L94" s="4" t="s">
        <v>174</v>
      </c>
      <c r="M94" s="4" t="s">
        <v>175</v>
      </c>
      <c r="N94" s="4" t="s">
        <v>176</v>
      </c>
      <c r="P94" s="4" t="s">
        <v>174</v>
      </c>
      <c r="Q94" s="4" t="s">
        <v>175</v>
      </c>
      <c r="R94" s="4" t="s">
        <v>176</v>
      </c>
    </row>
    <row r="95" spans="1:26" x14ac:dyDescent="0.25">
      <c r="B95" s="14">
        <f>270</f>
        <v>270</v>
      </c>
      <c r="C95" s="14">
        <v>0</v>
      </c>
      <c r="D95" s="6">
        <f>520000</f>
        <v>520000</v>
      </c>
      <c r="E95" s="6">
        <f>-4480000</f>
        <v>-4480000</v>
      </c>
      <c r="F95" s="14">
        <f>0.9996</f>
        <v>0.99960000000000004</v>
      </c>
      <c r="L95" s="18">
        <f>TRUNC(B95)</f>
        <v>270</v>
      </c>
      <c r="M95" s="18">
        <f>TRUNC((B95-L95)*60)</f>
        <v>0</v>
      </c>
      <c r="N95" s="20">
        <f>(B95-L95-M95/60)*3600</f>
        <v>0</v>
      </c>
      <c r="P95" s="18">
        <f>TRUNC(C95)</f>
        <v>0</v>
      </c>
      <c r="Q95" s="18">
        <f>TRUNC((C95-P95)*60)</f>
        <v>0</v>
      </c>
      <c r="R95" s="20">
        <f>(C95-P95-Q95/60)*3600</f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Transverse Mercator</vt:lpstr>
      <vt:lpstr>Lambert (Cen Par and Scale)</vt:lpstr>
      <vt:lpstr>Lambert (2 Std Parallels)</vt:lpstr>
      <vt:lpstr>Parameters</vt:lpstr>
    </vt:vector>
  </TitlesOfParts>
  <Company> 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Vonderohe</dc:creator>
  <cp:lastModifiedBy>junkfoodanimal</cp:lastModifiedBy>
  <cp:lastPrinted>2019-12-11T15:40:48Z</cp:lastPrinted>
  <dcterms:created xsi:type="dcterms:W3CDTF">2005-11-01T22:20:39Z</dcterms:created>
  <dcterms:modified xsi:type="dcterms:W3CDTF">2020-01-14T23:12:46Z</dcterms:modified>
</cp:coreProperties>
</file>